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Data\Documents\"/>
    </mc:Choice>
  </mc:AlternateContent>
  <xr:revisionPtr revIDLastSave="0" documentId="8_{D7E1C1A8-6DAF-4319-938E-26CD757AE9C7}" xr6:coauthVersionLast="45" xr6:coauthVersionMax="45" xr10:uidLastSave="{00000000-0000-0000-0000-000000000000}"/>
  <bookViews>
    <workbookView xWindow="-120" yWindow="-120" windowWidth="29040" windowHeight="15840" tabRatio="870" xr2:uid="{00000000-000D-0000-FFFF-FFFF00000000}"/>
  </bookViews>
  <sheets>
    <sheet name="Instructions" sheetId="6" r:id="rId1"/>
    <sheet name="Data Entry" sheetId="1" r:id="rId2"/>
    <sheet name="Keep Merino Ewe Hoggets" sheetId="3" r:id="rId3"/>
    <sheet name="Cull Poor Performers" sheetId="4" r:id="rId4"/>
    <sheet name="Keep Merino Wethers" sheetId="5" r:id="rId5"/>
    <sheet name="Keep Cleanskin Hoggets" sheetId="8" r:id="rId6"/>
    <sheet name="Buy Merino Ewes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7" l="1"/>
  <c r="J6" i="8" l="1"/>
  <c r="J8" i="8" s="1"/>
  <c r="I6" i="8"/>
  <c r="D9" i="8" s="1"/>
  <c r="B3" i="8"/>
  <c r="F9" i="8" l="1"/>
  <c r="D22" i="8"/>
  <c r="D16" i="8"/>
  <c r="I8" i="8"/>
  <c r="F26" i="8" s="1"/>
  <c r="D24" i="8"/>
  <c r="D29" i="7"/>
  <c r="D8" i="7"/>
  <c r="D20" i="7"/>
  <c r="B3" i="7"/>
  <c r="G9" i="8" l="1"/>
  <c r="F21" i="8"/>
  <c r="F25" i="8"/>
  <c r="F11" i="8"/>
  <c r="G11" i="8" s="1"/>
  <c r="F10" i="8"/>
  <c r="G10" i="8" s="1"/>
  <c r="F23" i="8" s="1"/>
  <c r="F20" i="8"/>
  <c r="D27" i="8"/>
  <c r="D28" i="8" s="1"/>
  <c r="E8" i="7"/>
  <c r="D7" i="7"/>
  <c r="D22" i="7" s="1"/>
  <c r="D27" i="7"/>
  <c r="D9" i="7"/>
  <c r="D28" i="7"/>
  <c r="D19" i="7"/>
  <c r="D21" i="7"/>
  <c r="D24" i="7"/>
  <c r="B3" i="5"/>
  <c r="B3" i="4"/>
  <c r="B3" i="3"/>
  <c r="F24" i="8" l="1"/>
  <c r="F22" i="8"/>
  <c r="F16" i="8"/>
  <c r="E9" i="7"/>
  <c r="D25" i="7" s="1"/>
  <c r="E10" i="7"/>
  <c r="D26" i="7" s="1"/>
  <c r="J6" i="4"/>
  <c r="J8" i="4" s="1"/>
  <c r="J10" i="4" s="1"/>
  <c r="I6" i="4"/>
  <c r="I8" i="4" s="1"/>
  <c r="I6" i="5"/>
  <c r="I8" i="5" s="1"/>
  <c r="H6" i="5"/>
  <c r="H8" i="5" s="1"/>
  <c r="J6" i="3"/>
  <c r="I6" i="3"/>
  <c r="I8" i="3" s="1"/>
  <c r="F27" i="8" l="1"/>
  <c r="F28" i="8" s="1"/>
  <c r="J8" i="3"/>
  <c r="F23" i="3" s="1"/>
  <c r="F9" i="5"/>
  <c r="D15" i="7"/>
  <c r="D23" i="7"/>
  <c r="D30" i="7" s="1"/>
  <c r="F10" i="5"/>
  <c r="D10" i="5"/>
  <c r="F10" i="3"/>
  <c r="G10" i="3" s="1"/>
  <c r="D10" i="3"/>
  <c r="D17" i="3" s="1"/>
  <c r="F26" i="3" l="1"/>
  <c r="F29" i="3"/>
  <c r="F30" i="3"/>
  <c r="F22" i="3"/>
  <c r="F9" i="4"/>
  <c r="F9" i="3"/>
  <c r="F12" i="3"/>
  <c r="F11" i="5"/>
  <c r="D31" i="7"/>
  <c r="D25" i="3"/>
  <c r="D28" i="3"/>
  <c r="D26" i="5"/>
  <c r="F29" i="5"/>
  <c r="F28" i="5"/>
  <c r="F27" i="5"/>
  <c r="F26" i="5"/>
  <c r="F25" i="5"/>
  <c r="F22" i="5"/>
  <c r="F21" i="5"/>
  <c r="F20" i="5"/>
  <c r="D24" i="5"/>
  <c r="D29" i="5"/>
  <c r="D31" i="3" l="1"/>
  <c r="D32" i="3" s="1"/>
  <c r="D32" i="5"/>
  <c r="D16" i="5"/>
  <c r="D33" i="5" l="1"/>
  <c r="G12" i="4" l="1"/>
  <c r="F12" i="4" l="1"/>
  <c r="D12" i="4" l="1"/>
  <c r="J5" i="4" l="1"/>
  <c r="F14" i="4" s="1"/>
  <c r="I5" i="4"/>
  <c r="F10" i="4" l="1"/>
  <c r="F23" i="5"/>
  <c r="F24" i="5"/>
  <c r="G10" i="4"/>
  <c r="D10" i="4"/>
  <c r="D26" i="4" s="1"/>
  <c r="F24" i="3" l="1"/>
  <c r="F21" i="3"/>
  <c r="F11" i="3"/>
  <c r="G12" i="3"/>
  <c r="F28" i="3" s="1"/>
  <c r="F31" i="4"/>
  <c r="F30" i="4"/>
  <c r="F11" i="4"/>
  <c r="G11" i="4"/>
  <c r="F27" i="4"/>
  <c r="F16" i="5"/>
  <c r="F32" i="5"/>
  <c r="F25" i="4"/>
  <c r="F24" i="4"/>
  <c r="F23" i="4"/>
  <c r="F22" i="4"/>
  <c r="I10" i="4"/>
  <c r="D29" i="4"/>
  <c r="D34" i="4" s="1"/>
  <c r="J11" i="4"/>
  <c r="F13" i="4" s="1"/>
  <c r="J12" i="4"/>
  <c r="D18" i="4"/>
  <c r="F33" i="5" l="1"/>
  <c r="G11" i="3"/>
  <c r="F27" i="3" s="1"/>
  <c r="F17" i="3"/>
  <c r="F18" i="4"/>
  <c r="G13" i="4"/>
  <c r="F29" i="4" s="1"/>
  <c r="J13" i="4"/>
  <c r="K13" i="4" s="1"/>
  <c r="I12" i="4"/>
  <c r="I13" i="4" s="1"/>
  <c r="D35" i="4"/>
  <c r="G14" i="4" l="1"/>
  <c r="F28" i="4" s="1"/>
  <c r="F25" i="3"/>
  <c r="F31" i="3" s="1"/>
  <c r="F32" i="3" s="1"/>
  <c r="F26" i="4" l="1"/>
  <c r="F34" i="4" s="1"/>
  <c r="F35" i="4" s="1"/>
</calcChain>
</file>

<file path=xl/sharedStrings.xml><?xml version="1.0" encoding="utf-8"?>
<sst xmlns="http://schemas.openxmlformats.org/spreadsheetml/2006/main" count="271" uniqueCount="133">
  <si>
    <t>What are the Benefits and Costs?</t>
  </si>
  <si>
    <t>Total benefits</t>
  </si>
  <si>
    <t>New overhead costs</t>
  </si>
  <si>
    <t>Total Costs</t>
  </si>
  <si>
    <t>Depreciation</t>
  </si>
  <si>
    <t>Additional Income</t>
  </si>
  <si>
    <t>Benefits</t>
  </si>
  <si>
    <t>Reduced Costs</t>
  </si>
  <si>
    <t>Option 2</t>
  </si>
  <si>
    <t>Labour savings</t>
  </si>
  <si>
    <t>Wool</t>
  </si>
  <si>
    <t>Less ewe losses</t>
  </si>
  <si>
    <t>Costs</t>
  </si>
  <si>
    <t>New variable costs</t>
  </si>
  <si>
    <t>Assumptions</t>
  </si>
  <si>
    <t>Clean wool price</t>
  </si>
  <si>
    <t>Wool yield</t>
  </si>
  <si>
    <t>c/kg</t>
  </si>
  <si>
    <t>/hd</t>
  </si>
  <si>
    <t>Lambing percent</t>
  </si>
  <si>
    <t>Starting Ewe Flock</t>
  </si>
  <si>
    <t>Shearing</t>
  </si>
  <si>
    <t>Shearing costs</t>
  </si>
  <si>
    <t>Shearing and crutching</t>
  </si>
  <si>
    <t>Water</t>
  </si>
  <si>
    <t>Vehicle Fuel &amp; R&amp;M</t>
  </si>
  <si>
    <t>/DSE</t>
  </si>
  <si>
    <t>Animal health</t>
  </si>
  <si>
    <t>Mustering</t>
  </si>
  <si>
    <t>Wool selling costs</t>
  </si>
  <si>
    <t>Sheep selling costs</t>
  </si>
  <si>
    <t>Wool $/bale</t>
  </si>
  <si>
    <t>Lambs $/hd</t>
  </si>
  <si>
    <t>Sheep $/hd</t>
  </si>
  <si>
    <t>Wool freight</t>
  </si>
  <si>
    <t>Freight</t>
  </si>
  <si>
    <t>Lamb Freight</t>
  </si>
  <si>
    <t>Wool price accounting for skirting/crutchings</t>
  </si>
  <si>
    <t>Option 1</t>
  </si>
  <si>
    <t>Levies</t>
  </si>
  <si>
    <t>Wool brokerage/testing</t>
  </si>
  <si>
    <t>Sheep commission</t>
  </si>
  <si>
    <t>/kg</t>
  </si>
  <si>
    <t>CFA ewes</t>
  </si>
  <si>
    <t>Cull ewe hoggets</t>
  </si>
  <si>
    <t>Ewe lambs weaned</t>
  </si>
  <si>
    <t>Additional lambs</t>
  </si>
  <si>
    <t>Ewe death rate</t>
  </si>
  <si>
    <t>Adult ewe wool cut</t>
  </si>
  <si>
    <t>Cull ewe price</t>
  </si>
  <si>
    <t>Prime Lamb Price</t>
  </si>
  <si>
    <t>Ewe Freight</t>
  </si>
  <si>
    <t>Cull ewes on performance</t>
  </si>
  <si>
    <t>Cull passenger ewes</t>
  </si>
  <si>
    <t>Increased weaning rate</t>
  </si>
  <si>
    <t>15% additional lambs from older ewes (50% of flock) after two years</t>
  </si>
  <si>
    <t>Starting Ewe No.</t>
  </si>
  <si>
    <t>Deaths</t>
  </si>
  <si>
    <t>Final ewe No.</t>
  </si>
  <si>
    <t>Ewe hogget price</t>
  </si>
  <si>
    <t>Sell wether lambs after shearing</t>
  </si>
  <si>
    <t>Wether lambs</t>
  </si>
  <si>
    <t>All wethers sold as weaners after shearing</t>
  </si>
  <si>
    <t>Wether Freight</t>
  </si>
  <si>
    <t>Cull wether price</t>
  </si>
  <si>
    <t>Rebuilding the Flock by Culling Poor Performing Ewes</t>
  </si>
  <si>
    <t>Sell cull ewes after shearing</t>
  </si>
  <si>
    <t>New Variable costs</t>
  </si>
  <si>
    <t>Animal Health</t>
  </si>
  <si>
    <t>Lamb freight</t>
  </si>
  <si>
    <t>Ewe freight</t>
  </si>
  <si>
    <t>Gross Margin</t>
  </si>
  <si>
    <t>Ewe hoggets culled</t>
  </si>
  <si>
    <t>Keep cull ewes and mate to Prime lamb sires</t>
  </si>
  <si>
    <t>Data Entry</t>
  </si>
  <si>
    <t>head</t>
  </si>
  <si>
    <t>Store wether lambs 35 kg</t>
  </si>
  <si>
    <t>Ewes hoggets kept</t>
  </si>
  <si>
    <t>Wether lambs weaned</t>
  </si>
  <si>
    <t>Wether lambs sold</t>
  </si>
  <si>
    <t>Wether lambs kept</t>
  </si>
  <si>
    <t>x% wether lambs culled and sold</t>
  </si>
  <si>
    <t>Ewe hoggets kept yr 1</t>
  </si>
  <si>
    <t>CFA ewes yr 1</t>
  </si>
  <si>
    <t>Ewe hoggets kept yr 2</t>
  </si>
  <si>
    <t>Cull ewes yr 2</t>
  </si>
  <si>
    <t>Ewe wool discounted by 2% for yr 2 value</t>
  </si>
  <si>
    <t>Bottom x% discounted by 2% for yr 3 value</t>
  </si>
  <si>
    <t>Discounted by 10% for yr 5 value</t>
  </si>
  <si>
    <t>Sell cull ewe hoggets after shearing</t>
  </si>
  <si>
    <t>kg greasy</t>
  </si>
  <si>
    <t>x% ewe hoggets culled @ $x/hd</t>
  </si>
  <si>
    <t>Prime lambs @ x% weaning @ $x/hd</t>
  </si>
  <si>
    <t>x% of ewe hoggets sold @ $x/hd</t>
  </si>
  <si>
    <t>x head @ $x/hd</t>
  </si>
  <si>
    <t>Wether lambs @ x% weaning @ $x/hd</t>
  </si>
  <si>
    <t>Property Name:</t>
  </si>
  <si>
    <t>Instructions for Use</t>
  </si>
  <si>
    <t>We hope this is a useful tool to help with your decisions.</t>
  </si>
  <si>
    <t>PIRSA Drought Support and Recovery</t>
  </si>
  <si>
    <t>This program provides a comparison of three different strategies to help guide your descision maing in the rebuilding of your sheep flock.</t>
  </si>
  <si>
    <t>Rebuilding the Sheep Flock</t>
  </si>
  <si>
    <t>They can be used either individually or in combination with each other.</t>
  </si>
  <si>
    <t>To start:</t>
  </si>
  <si>
    <t>1. Click on the "Data Entry" Tab</t>
  </si>
  <si>
    <t xml:space="preserve">    If there are figures you are unsure of use the default value.</t>
  </si>
  <si>
    <t xml:space="preserve">    There are several "yellow" cells in each of the other Tabs, which can be changed, depending on your management.</t>
  </si>
  <si>
    <t>3. Compare the profitability of the different strategies and decide which ones will best suit your business.</t>
  </si>
  <si>
    <t>4. Adjust prices to view the impact that this will have on profitability.</t>
  </si>
  <si>
    <t>5. Compare these strategies with the profitability of buying in sheep.</t>
  </si>
  <si>
    <t>This program should be used in combination with the information sheet "Pastoral Drought Management and Recovery".</t>
  </si>
  <si>
    <t>Ewes bought</t>
  </si>
  <si>
    <t>Ewe Price</t>
  </si>
  <si>
    <t>Number of years kept</t>
  </si>
  <si>
    <t>Ewe Depreciation</t>
  </si>
  <si>
    <t>Ewes Purchased</t>
  </si>
  <si>
    <t>Merino</t>
  </si>
  <si>
    <t>Cleanskins</t>
  </si>
  <si>
    <t>Rebuilding the Flock by Buying Extra Merino Ewes</t>
  </si>
  <si>
    <t>Rebuilding the Flock by Keeping Merino Wethers to 5 years of age</t>
  </si>
  <si>
    <t>Rebuilding the Flock by Keeping Extra Merino Ewe Hoggets</t>
  </si>
  <si>
    <t>Sell cull ewe hoggets</t>
  </si>
  <si>
    <t>Keep cull ewe hoggets and mate</t>
  </si>
  <si>
    <t>Rebuilding the Flock by Keeping Extra Cleanskin Ewe Hoggets</t>
  </si>
  <si>
    <t>Year wethers kept</t>
  </si>
  <si>
    <t>Discounted for current value</t>
  </si>
  <si>
    <t>Adult wethers</t>
  </si>
  <si>
    <t>Wether wool discounted for yr 2 value</t>
  </si>
  <si>
    <t>Annual discount rate</t>
  </si>
  <si>
    <t>Keep wethers and cull as ewe numbers increase</t>
  </si>
  <si>
    <t>Discounted for current value value</t>
  </si>
  <si>
    <t xml:space="preserve">    By completing the "Merino" information in the "Data Entry" Tab, all three strategies will be calculated.</t>
  </si>
  <si>
    <t>2. Insert your own figures into the "yellow" cells for Merino and/or Cleanskin enterprises.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</si>
</sst>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rgb="FF49A942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26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4" borderId="2" xfId="0" applyFill="1" applyBorder="1"/>
    <xf numFmtId="0" fontId="0" fillId="4" borderId="16" xfId="0" applyFill="1" applyBorder="1"/>
    <xf numFmtId="0" fontId="0" fillId="4" borderId="18" xfId="0" applyFill="1" applyBorder="1"/>
    <xf numFmtId="164" fontId="3" fillId="0" borderId="2" xfId="1" applyNumberFormat="1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6" fontId="3" fillId="0" borderId="7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justify" vertical="center" wrapText="1"/>
    </xf>
    <xf numFmtId="0" fontId="2" fillId="2" borderId="10" xfId="0" applyFont="1" applyFill="1" applyBorder="1"/>
    <xf numFmtId="6" fontId="3" fillId="0" borderId="0" xfId="0" applyNumberFormat="1" applyFont="1" applyBorder="1" applyAlignment="1">
      <alignment horizontal="right" vertical="center" wrapText="1"/>
    </xf>
    <xf numFmtId="6" fontId="3" fillId="0" borderId="15" xfId="0" applyNumberFormat="1" applyFont="1" applyBorder="1" applyAlignment="1">
      <alignment horizontal="right" vertical="center" wrapText="1"/>
    </xf>
    <xf numFmtId="6" fontId="4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6" fontId="3" fillId="2" borderId="0" xfId="0" applyNumberFormat="1" applyFont="1" applyFill="1" applyBorder="1" applyAlignment="1">
      <alignment horizontal="justify" vertical="center" wrapText="1"/>
    </xf>
    <xf numFmtId="6" fontId="3" fillId="2" borderId="15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/>
    </xf>
    <xf numFmtId="8" fontId="0" fillId="0" borderId="0" xfId="0" applyNumberFormat="1"/>
    <xf numFmtId="0" fontId="0" fillId="0" borderId="0" xfId="0" applyFont="1"/>
    <xf numFmtId="0" fontId="10" fillId="0" borderId="0" xfId="0" applyFont="1" applyAlignment="1"/>
    <xf numFmtId="0" fontId="3" fillId="0" borderId="1" xfId="0" applyFont="1" applyBorder="1" applyAlignment="1">
      <alignment horizontal="left"/>
    </xf>
    <xf numFmtId="164" fontId="3" fillId="0" borderId="7" xfId="1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0" fillId="0" borderId="0" xfId="0" applyAlignment="1"/>
    <xf numFmtId="0" fontId="11" fillId="0" borderId="0" xfId="0" applyFont="1" applyAlignment="1"/>
    <xf numFmtId="0" fontId="0" fillId="4" borderId="10" xfId="0" applyFill="1" applyBorder="1"/>
    <xf numFmtId="1" fontId="0" fillId="0" borderId="0" xfId="0" applyNumberFormat="1"/>
    <xf numFmtId="0" fontId="3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6" xfId="0" applyFont="1" applyBorder="1"/>
    <xf numFmtId="0" fontId="3" fillId="0" borderId="5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17" xfId="0" applyFont="1" applyBorder="1"/>
    <xf numFmtId="164" fontId="3" fillId="0" borderId="18" xfId="1" applyNumberFormat="1" applyFont="1" applyBorder="1"/>
    <xf numFmtId="0" fontId="3" fillId="0" borderId="20" xfId="0" applyFont="1" applyBorder="1"/>
    <xf numFmtId="0" fontId="3" fillId="0" borderId="14" xfId="0" applyFont="1" applyBorder="1"/>
    <xf numFmtId="164" fontId="3" fillId="0" borderId="0" xfId="1" applyNumberFormat="1" applyFont="1" applyBorder="1"/>
    <xf numFmtId="164" fontId="3" fillId="0" borderId="15" xfId="1" applyNumberFormat="1" applyFont="1" applyBorder="1"/>
    <xf numFmtId="0" fontId="3" fillId="0" borderId="0" xfId="0" applyFont="1" applyBorder="1"/>
    <xf numFmtId="0" fontId="4" fillId="0" borderId="20" xfId="0" applyFont="1" applyBorder="1"/>
    <xf numFmtId="0" fontId="3" fillId="0" borderId="15" xfId="0" applyFont="1" applyBorder="1"/>
    <xf numFmtId="44" fontId="3" fillId="0" borderId="15" xfId="1" applyNumberFormat="1" applyFont="1" applyBorder="1"/>
    <xf numFmtId="0" fontId="3" fillId="0" borderId="4" xfId="0" applyFont="1" applyBorder="1"/>
    <xf numFmtId="164" fontId="3" fillId="0" borderId="7" xfId="1" applyNumberFormat="1" applyFont="1" applyBorder="1"/>
    <xf numFmtId="0" fontId="13" fillId="4" borderId="17" xfId="0" applyFont="1" applyFill="1" applyBorder="1"/>
    <xf numFmtId="0" fontId="13" fillId="4" borderId="16" xfId="0" applyFont="1" applyFill="1" applyBorder="1"/>
    <xf numFmtId="0" fontId="13" fillId="4" borderId="3" xfId="0" applyFont="1" applyFill="1" applyBorder="1"/>
    <xf numFmtId="0" fontId="4" fillId="4" borderId="10" xfId="0" applyFont="1" applyFill="1" applyBorder="1"/>
    <xf numFmtId="0" fontId="13" fillId="4" borderId="10" xfId="0" applyFont="1" applyFill="1" applyBorder="1"/>
    <xf numFmtId="0" fontId="0" fillId="0" borderId="0" xfId="0" applyFill="1"/>
    <xf numFmtId="0" fontId="12" fillId="0" borderId="0" xfId="0" applyFont="1"/>
    <xf numFmtId="0" fontId="3" fillId="0" borderId="0" xfId="0" applyFont="1" applyBorder="1" applyAlignment="1">
      <alignment horizontal="left" vertical="center"/>
    </xf>
    <xf numFmtId="0" fontId="1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12" fillId="2" borderId="16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4" borderId="1" xfId="0" applyFont="1" applyFill="1" applyBorder="1"/>
    <xf numFmtId="164" fontId="4" fillId="4" borderId="3" xfId="1" applyNumberFormat="1" applyFont="1" applyFill="1" applyBorder="1"/>
    <xf numFmtId="164" fontId="4" fillId="4" borderId="2" xfId="1" applyNumberFormat="1" applyFont="1" applyFill="1" applyBorder="1"/>
    <xf numFmtId="0" fontId="12" fillId="4" borderId="10" xfId="0" applyFont="1" applyFill="1" applyBorder="1"/>
    <xf numFmtId="0" fontId="3" fillId="4" borderId="10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6" fontId="3" fillId="4" borderId="9" xfId="0" applyNumberFormat="1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justify" vertical="center" wrapText="1"/>
    </xf>
    <xf numFmtId="0" fontId="4" fillId="4" borderId="13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justify" vertical="center" wrapText="1"/>
    </xf>
    <xf numFmtId="6" fontId="3" fillId="4" borderId="7" xfId="0" applyNumberFormat="1" applyFont="1" applyFill="1" applyBorder="1" applyAlignment="1">
      <alignment horizontal="right" vertical="center" wrapText="1"/>
    </xf>
    <xf numFmtId="0" fontId="4" fillId="4" borderId="20" xfId="0" applyFont="1" applyFill="1" applyBorder="1"/>
    <xf numFmtId="0" fontId="3" fillId="4" borderId="14" xfId="0" applyFont="1" applyFill="1" applyBorder="1"/>
    <xf numFmtId="0" fontId="3" fillId="4" borderId="0" xfId="0" applyFont="1" applyFill="1" applyBorder="1"/>
    <xf numFmtId="0" fontId="3" fillId="4" borderId="15" xfId="0" applyFont="1" applyFill="1" applyBorder="1"/>
    <xf numFmtId="0" fontId="4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5" xfId="0" applyFont="1" applyFill="1" applyBorder="1"/>
    <xf numFmtId="0" fontId="12" fillId="4" borderId="4" xfId="0" applyFont="1" applyFill="1" applyBorder="1" applyAlignment="1">
      <alignment horizontal="justify" vertical="center" wrapText="1"/>
    </xf>
    <xf numFmtId="0" fontId="12" fillId="2" borderId="10" xfId="0" applyFont="1" applyFill="1" applyBorder="1"/>
    <xf numFmtId="0" fontId="12" fillId="2" borderId="20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/>
    <xf numFmtId="164" fontId="4" fillId="2" borderId="6" xfId="1" applyNumberFormat="1" applyFont="1" applyFill="1" applyBorder="1"/>
    <xf numFmtId="164" fontId="4" fillId="2" borderId="7" xfId="1" applyNumberFormat="1" applyFont="1" applyFill="1" applyBorder="1"/>
    <xf numFmtId="0" fontId="0" fillId="4" borderId="16" xfId="0" applyFont="1" applyFill="1" applyBorder="1"/>
    <xf numFmtId="0" fontId="4" fillId="4" borderId="18" xfId="0" applyFont="1" applyFill="1" applyBorder="1"/>
    <xf numFmtId="0" fontId="3" fillId="4" borderId="20" xfId="0" applyFont="1" applyFill="1" applyBorder="1"/>
    <xf numFmtId="9" fontId="3" fillId="3" borderId="15" xfId="2" applyNumberFormat="1" applyFont="1" applyFill="1" applyBorder="1" applyAlignment="1" applyProtection="1">
      <alignment horizontal="right"/>
      <protection locked="0"/>
    </xf>
    <xf numFmtId="1" fontId="3" fillId="4" borderId="7" xfId="0" applyNumberFormat="1" applyFont="1" applyFill="1" applyBorder="1"/>
    <xf numFmtId="0" fontId="4" fillId="4" borderId="19" xfId="0" applyFont="1" applyFill="1" applyBorder="1"/>
    <xf numFmtId="9" fontId="3" fillId="3" borderId="14" xfId="2" applyNumberFormat="1" applyFont="1" applyFill="1" applyBorder="1" applyAlignment="1" applyProtection="1">
      <alignment horizontal="right"/>
      <protection locked="0"/>
    </xf>
    <xf numFmtId="1" fontId="3" fillId="4" borderId="4" xfId="0" applyNumberFormat="1" applyFont="1" applyFill="1" applyBorder="1"/>
    <xf numFmtId="0" fontId="3" fillId="4" borderId="16" xfId="0" applyFont="1" applyFill="1" applyBorder="1"/>
    <xf numFmtId="0" fontId="3" fillId="4" borderId="19" xfId="0" applyFont="1" applyFill="1" applyBorder="1"/>
    <xf numFmtId="0" fontId="3" fillId="4" borderId="18" xfId="0" applyFont="1" applyFill="1" applyBorder="1"/>
    <xf numFmtId="0" fontId="4" fillId="4" borderId="16" xfId="0" applyFont="1" applyFill="1" applyBorder="1"/>
    <xf numFmtId="1" fontId="3" fillId="4" borderId="14" xfId="0" applyNumberFormat="1" applyFont="1" applyFill="1" applyBorder="1"/>
    <xf numFmtId="1" fontId="3" fillId="4" borderId="15" xfId="0" applyNumberFormat="1" applyFont="1" applyFill="1" applyBorder="1"/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6" fontId="4" fillId="4" borderId="9" xfId="0" applyNumberFormat="1" applyFont="1" applyFill="1" applyBorder="1" applyAlignment="1">
      <alignment horizontal="right" vertical="center" wrapText="1"/>
    </xf>
    <xf numFmtId="6" fontId="4" fillId="4" borderId="7" xfId="0" applyNumberFormat="1" applyFont="1" applyFill="1" applyBorder="1" applyAlignment="1">
      <alignment horizontal="right" vertical="center" wrapText="1"/>
    </xf>
    <xf numFmtId="44" fontId="3" fillId="3" borderId="6" xfId="1" applyFont="1" applyFill="1" applyBorder="1" applyProtection="1">
      <protection locked="0"/>
    </xf>
    <xf numFmtId="44" fontId="3" fillId="3" borderId="7" xfId="1" applyFont="1" applyFill="1" applyBorder="1" applyProtection="1">
      <protection locked="0"/>
    </xf>
    <xf numFmtId="165" fontId="3" fillId="3" borderId="6" xfId="2" applyNumberFormat="1" applyFont="1" applyFill="1" applyBorder="1" applyAlignment="1" applyProtection="1">
      <alignment horizontal="right"/>
      <protection locked="0"/>
    </xf>
    <xf numFmtId="0" fontId="3" fillId="3" borderId="19" xfId="0" applyFont="1" applyFill="1" applyBorder="1" applyAlignment="1" applyProtection="1">
      <alignment horizontal="right"/>
      <protection locked="0"/>
    </xf>
    <xf numFmtId="44" fontId="3" fillId="3" borderId="14" xfId="1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9" fontId="3" fillId="3" borderId="14" xfId="2" applyFont="1" applyFill="1" applyBorder="1" applyAlignment="1" applyProtection="1">
      <alignment horizontal="right"/>
      <protection locked="0"/>
    </xf>
    <xf numFmtId="165" fontId="3" fillId="3" borderId="14" xfId="2" applyNumberFormat="1" applyFont="1" applyFill="1" applyBorder="1" applyAlignment="1" applyProtection="1">
      <alignment horizontal="right"/>
      <protection locked="0"/>
    </xf>
    <xf numFmtId="44" fontId="3" fillId="3" borderId="14" xfId="1" applyFont="1" applyFill="1" applyBorder="1" applyAlignment="1" applyProtection="1">
      <alignment horizontal="right"/>
      <protection locked="0"/>
    </xf>
    <xf numFmtId="165" fontId="3" fillId="3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9" fillId="4" borderId="10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44" fontId="3" fillId="4" borderId="15" xfId="1" applyFont="1" applyFill="1" applyBorder="1" applyAlignment="1">
      <alignment horizontal="left"/>
    </xf>
    <xf numFmtId="44" fontId="3" fillId="4" borderId="15" xfId="1" quotePrefix="1" applyFont="1" applyFill="1" applyBorder="1" applyAlignment="1">
      <alignment horizontal="left"/>
    </xf>
    <xf numFmtId="0" fontId="0" fillId="4" borderId="15" xfId="0" applyFont="1" applyFill="1" applyBorder="1"/>
    <xf numFmtId="44" fontId="3" fillId="4" borderId="7" xfId="1" applyFont="1" applyFill="1" applyBorder="1" applyAlignment="1">
      <alignment horizontal="left"/>
    </xf>
    <xf numFmtId="44" fontId="4" fillId="4" borderId="3" xfId="1" applyFont="1" applyFill="1" applyBorder="1" applyAlignment="1">
      <alignment horizontal="left"/>
    </xf>
    <xf numFmtId="44" fontId="4" fillId="4" borderId="2" xfId="1" applyFont="1" applyFill="1" applyBorder="1" applyAlignment="1">
      <alignment horizontal="left"/>
    </xf>
    <xf numFmtId="44" fontId="4" fillId="4" borderId="6" xfId="1" applyFont="1" applyFill="1" applyBorder="1" applyAlignment="1">
      <alignment horizontal="left"/>
    </xf>
    <xf numFmtId="0" fontId="0" fillId="4" borderId="3" xfId="0" applyFont="1" applyFill="1" applyBorder="1"/>
    <xf numFmtId="0" fontId="4" fillId="4" borderId="3" xfId="0" applyFont="1" applyFill="1" applyBorder="1"/>
    <xf numFmtId="0" fontId="4" fillId="4" borderId="2" xfId="0" applyFont="1" applyFill="1" applyBorder="1"/>
    <xf numFmtId="0" fontId="0" fillId="0" borderId="0" xfId="0" applyFont="1" applyProtection="1"/>
    <xf numFmtId="0" fontId="12" fillId="0" borderId="0" xfId="0" applyFont="1" applyFill="1"/>
    <xf numFmtId="0" fontId="8" fillId="0" borderId="0" xfId="0" applyFont="1"/>
    <xf numFmtId="164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4" xfId="0" applyNumberFormat="1" applyFont="1" applyFill="1" applyBorder="1" applyProtection="1">
      <protection locked="0"/>
    </xf>
    <xf numFmtId="0" fontId="3" fillId="4" borderId="2" xfId="0" applyFont="1" applyFill="1" applyBorder="1"/>
    <xf numFmtId="164" fontId="3" fillId="3" borderId="14" xfId="1" applyNumberFormat="1" applyFont="1" applyFill="1" applyBorder="1" applyProtection="1">
      <protection locked="0"/>
    </xf>
    <xf numFmtId="0" fontId="3" fillId="3" borderId="14" xfId="1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2" xfId="0" applyFill="1" applyBorder="1"/>
    <xf numFmtId="9" fontId="3" fillId="3" borderId="4" xfId="2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44" fontId="3" fillId="3" borderId="14" xfId="1" quotePrefix="1" applyFont="1" applyFill="1" applyBorder="1" applyAlignment="1" applyProtection="1">
      <alignment horizontal="left"/>
      <protection locked="0"/>
    </xf>
    <xf numFmtId="44" fontId="3" fillId="3" borderId="4" xfId="1" applyFont="1" applyFill="1" applyBorder="1" applyAlignment="1" applyProtection="1">
      <alignment horizontal="left"/>
      <protection locked="0"/>
    </xf>
    <xf numFmtId="44" fontId="3" fillId="3" borderId="19" xfId="1" applyFont="1" applyFill="1" applyBorder="1" applyAlignment="1" applyProtection="1">
      <alignment horizontal="left"/>
      <protection locked="0"/>
    </xf>
    <xf numFmtId="44" fontId="3" fillId="4" borderId="20" xfId="1" quotePrefix="1" applyFont="1" applyFill="1" applyBorder="1" applyAlignment="1">
      <alignment horizontal="left"/>
    </xf>
    <xf numFmtId="44" fontId="3" fillId="4" borderId="20" xfId="1" applyFont="1" applyFill="1" applyBorder="1" applyAlignment="1">
      <alignment horizontal="left"/>
    </xf>
    <xf numFmtId="0" fontId="0" fillId="4" borderId="20" xfId="0" applyFont="1" applyFill="1" applyBorder="1"/>
    <xf numFmtId="9" fontId="3" fillId="3" borderId="19" xfId="2" applyFont="1" applyFill="1" applyBorder="1" applyAlignment="1" applyProtection="1">
      <alignment horizontal="right"/>
      <protection locked="0"/>
    </xf>
    <xf numFmtId="165" fontId="3" fillId="3" borderId="1" xfId="2" applyNumberFormat="1" applyFont="1" applyFill="1" applyBorder="1" applyAlignment="1" applyProtection="1">
      <alignment horizontal="right" indent="1"/>
      <protection locked="0"/>
    </xf>
    <xf numFmtId="44" fontId="3" fillId="4" borderId="0" xfId="1" applyFont="1" applyFill="1" applyBorder="1" applyAlignment="1">
      <alignment horizontal="left"/>
    </xf>
    <xf numFmtId="6" fontId="3" fillId="0" borderId="6" xfId="0" applyNumberFormat="1" applyFont="1" applyBorder="1" applyAlignment="1">
      <alignment horizontal="right" vertical="center" wrapText="1"/>
    </xf>
    <xf numFmtId="0" fontId="3" fillId="4" borderId="4" xfId="0" applyFont="1" applyFill="1" applyBorder="1"/>
    <xf numFmtId="9" fontId="3" fillId="3" borderId="7" xfId="2" applyFont="1" applyFill="1" applyBorder="1" applyProtection="1">
      <protection locked="0"/>
    </xf>
    <xf numFmtId="0" fontId="0" fillId="4" borderId="4" xfId="0" applyFill="1" applyBorder="1"/>
    <xf numFmtId="9" fontId="3" fillId="3" borderId="4" xfId="2" applyNumberFormat="1" applyFont="1" applyFill="1" applyBorder="1" applyAlignment="1" applyProtection="1">
      <alignment horizontal="right"/>
      <protection locked="0"/>
    </xf>
    <xf numFmtId="1" fontId="3" fillId="4" borderId="14" xfId="0" applyNumberFormat="1" applyFont="1" applyFill="1" applyBorder="1" applyProtection="1"/>
    <xf numFmtId="0" fontId="4" fillId="4" borderId="0" xfId="0" applyFont="1" applyFill="1" applyBorder="1"/>
    <xf numFmtId="9" fontId="3" fillId="3" borderId="2" xfId="2" applyFont="1" applyFill="1" applyBorder="1" applyProtection="1">
      <protection locked="0"/>
    </xf>
    <xf numFmtId="0" fontId="15" fillId="0" borderId="0" xfId="0" applyFont="1"/>
    <xf numFmtId="0" fontId="13" fillId="4" borderId="3" xfId="0" applyFont="1" applyFill="1" applyBorder="1" applyAlignment="1">
      <alignment horizontal="center"/>
    </xf>
    <xf numFmtId="0" fontId="8" fillId="3" borderId="10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4" fillId="4" borderId="12" xfId="0" applyFont="1" applyFill="1" applyBorder="1" applyAlignment="1">
      <alignment horizontal="justify" vertical="center" wrapText="1"/>
    </xf>
    <xf numFmtId="0" fontId="4" fillId="4" borderId="13" xfId="0" applyFont="1" applyFill="1" applyBorder="1" applyAlignment="1">
      <alignment horizontal="justify" vertical="center" wrapText="1"/>
    </xf>
    <xf numFmtId="0" fontId="0" fillId="5" borderId="0" xfId="0" applyFill="1"/>
    <xf numFmtId="0" fontId="14" fillId="5" borderId="0" xfId="0" applyFont="1" applyFill="1" applyAlignment="1"/>
    <xf numFmtId="0" fontId="10" fillId="5" borderId="0" xfId="0" applyFont="1" applyFill="1"/>
    <xf numFmtId="0" fontId="4" fillId="5" borderId="0" xfId="0" applyFont="1" applyFill="1"/>
    <xf numFmtId="0" fontId="13" fillId="5" borderId="0" xfId="0" applyFont="1" applyFill="1"/>
    <xf numFmtId="0" fontId="3" fillId="5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224969</xdr:colOff>
      <xdr:row>0</xdr:row>
      <xdr:rowOff>85724</xdr:rowOff>
    </xdr:from>
    <xdr:to>
      <xdr:col>20</xdr:col>
      <xdr:colOff>244223</xdr:colOff>
      <xdr:row>3</xdr:row>
      <xdr:rowOff>171449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902721-8734-4EE1-B87A-9438C9608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7769" y="85724"/>
          <a:ext cx="1238454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DOCS/Drought18/Planning/Pastoral/Rebuilding%20the%20Flo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 Cost"/>
      <sheetName val="Infrastructure"/>
    </sheetNames>
    <sheetDataSet>
      <sheetData sheetId="0"/>
      <sheetData sheetId="1">
        <row r="16">
          <cell r="E16">
            <v>-400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39997558519241921"/>
  </sheetPr>
  <dimension ref="A1:U42"/>
  <sheetViews>
    <sheetView showRowColHeaders="0" tabSelected="1" topLeftCell="A4" zoomScaleNormal="100" workbookViewId="0">
      <selection activeCell="F13" sqref="F13"/>
    </sheetView>
  </sheetViews>
  <sheetFormatPr defaultRowHeight="15" x14ac:dyDescent="0.25"/>
  <sheetData>
    <row r="1" spans="1:21" ht="33" x14ac:dyDescent="0.45">
      <c r="A1" s="212"/>
      <c r="B1" s="212"/>
      <c r="C1" s="212"/>
      <c r="D1" s="212"/>
      <c r="E1" s="212"/>
      <c r="F1" s="212"/>
      <c r="G1" s="213" t="s">
        <v>101</v>
      </c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33" x14ac:dyDescent="0.45">
      <c r="A2" s="212"/>
      <c r="B2" s="212"/>
      <c r="C2" s="212"/>
      <c r="D2" s="212"/>
      <c r="E2" s="212"/>
      <c r="F2" s="212"/>
      <c r="G2" s="213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ht="33" x14ac:dyDescent="0.45">
      <c r="A3" s="212"/>
      <c r="B3" s="212"/>
      <c r="C3" s="212"/>
      <c r="D3" s="212"/>
      <c r="E3" s="212"/>
      <c r="F3" s="212"/>
      <c r="G3" s="213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1" ht="20.25" x14ac:dyDescent="0.3">
      <c r="A5" s="212"/>
      <c r="B5" s="214" t="s">
        <v>97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</row>
    <row r="6" spans="1:21" x14ac:dyDescent="0.2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</row>
    <row r="7" spans="1:21" x14ac:dyDescent="0.25">
      <c r="A7" s="212"/>
      <c r="B7" s="215" t="s">
        <v>100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1:21" x14ac:dyDescent="0.25">
      <c r="A8" s="212"/>
      <c r="B8" s="215" t="s">
        <v>102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</row>
    <row r="9" spans="1:21" x14ac:dyDescent="0.25">
      <c r="A9" s="212"/>
      <c r="B9" s="215" t="s">
        <v>110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</row>
    <row r="10" spans="1:21" x14ac:dyDescent="0.25">
      <c r="A10" s="212"/>
      <c r="B10" s="215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</row>
    <row r="11" spans="1:21" ht="15.75" x14ac:dyDescent="0.25">
      <c r="A11" s="212"/>
      <c r="B11" s="216" t="s">
        <v>103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</row>
    <row r="12" spans="1:21" x14ac:dyDescent="0.25">
      <c r="A12" s="212"/>
      <c r="B12" s="215" t="s">
        <v>104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</row>
    <row r="13" spans="1:21" x14ac:dyDescent="0.25">
      <c r="A13" s="212"/>
      <c r="B13" s="215" t="s">
        <v>132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</row>
    <row r="14" spans="1:21" x14ac:dyDescent="0.25">
      <c r="A14" s="212"/>
      <c r="B14" s="215" t="s">
        <v>105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</row>
    <row r="15" spans="1:21" x14ac:dyDescent="0.25">
      <c r="A15" s="212"/>
      <c r="B15" s="215" t="s">
        <v>131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</row>
    <row r="16" spans="1:21" x14ac:dyDescent="0.25">
      <c r="A16" s="212"/>
      <c r="B16" s="215" t="s">
        <v>106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</row>
    <row r="17" spans="1:21" x14ac:dyDescent="0.25">
      <c r="A17" s="212"/>
      <c r="B17" s="215" t="s">
        <v>107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</row>
    <row r="18" spans="1:21" x14ac:dyDescent="0.25">
      <c r="A18" s="212"/>
      <c r="B18" s="215" t="s">
        <v>108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21" x14ac:dyDescent="0.25">
      <c r="A19" s="212"/>
      <c r="B19" s="215" t="s">
        <v>109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</row>
    <row r="20" spans="1:21" x14ac:dyDescent="0.25">
      <c r="A20" s="212"/>
      <c r="B20" s="215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</row>
    <row r="21" spans="1:21" x14ac:dyDescent="0.25">
      <c r="A21" s="212"/>
      <c r="B21" s="215" t="s">
        <v>98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</row>
    <row r="22" spans="1:21" x14ac:dyDescent="0.25">
      <c r="A22" s="212"/>
      <c r="B22" s="217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</row>
    <row r="23" spans="1:21" ht="15.75" x14ac:dyDescent="0.25">
      <c r="A23" s="212"/>
      <c r="B23" s="216" t="s">
        <v>99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</row>
    <row r="24" spans="1:21" x14ac:dyDescent="0.2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</row>
    <row r="25" spans="1:21" x14ac:dyDescent="0.2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</row>
    <row r="26" spans="1:21" x14ac:dyDescent="0.2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</row>
    <row r="27" spans="1:21" x14ac:dyDescent="0.2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1" x14ac:dyDescent="0.2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</row>
    <row r="29" spans="1:21" x14ac:dyDescent="0.2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</row>
    <row r="30" spans="1:21" x14ac:dyDescent="0.2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</row>
    <row r="31" spans="1:21" x14ac:dyDescent="0.2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</row>
    <row r="32" spans="1:21" x14ac:dyDescent="0.25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</row>
    <row r="33" spans="1:21" x14ac:dyDescent="0.2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</row>
    <row r="34" spans="1:21" x14ac:dyDescent="0.25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</row>
    <row r="35" spans="1:21" x14ac:dyDescent="0.2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</row>
    <row r="36" spans="1:21" x14ac:dyDescent="0.2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</row>
    <row r="37" spans="1:21" x14ac:dyDescent="0.2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</row>
    <row r="38" spans="1:21" x14ac:dyDescent="0.2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</row>
    <row r="39" spans="1:21" x14ac:dyDescent="0.2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</row>
    <row r="40" spans="1:21" x14ac:dyDescent="0.2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</row>
    <row r="41" spans="1:21" x14ac:dyDescent="0.2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</row>
    <row r="42" spans="1:21" x14ac:dyDescent="0.2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499984740745262"/>
  </sheetPr>
  <dimension ref="A2:J57"/>
  <sheetViews>
    <sheetView showRowColHeaders="0" workbookViewId="0">
      <selection activeCell="C13" sqref="C13"/>
    </sheetView>
  </sheetViews>
  <sheetFormatPr defaultRowHeight="15" x14ac:dyDescent="0.25"/>
  <cols>
    <col min="1" max="1" width="7.7109375" customWidth="1"/>
    <col min="2" max="2" width="41.28515625" customWidth="1"/>
    <col min="3" max="3" width="13.28515625" customWidth="1"/>
    <col min="4" max="6" width="14.7109375" customWidth="1"/>
    <col min="7" max="7" width="19.28515625" customWidth="1"/>
    <col min="8" max="8" width="13.140625" customWidth="1"/>
    <col min="9" max="9" width="13.85546875" customWidth="1"/>
    <col min="10" max="10" width="12" customWidth="1"/>
  </cols>
  <sheetData>
    <row r="2" spans="1:10" ht="20.25" x14ac:dyDescent="0.3">
      <c r="B2" s="28" t="s">
        <v>101</v>
      </c>
    </row>
    <row r="3" spans="1:10" ht="18.75" thickBot="1" x14ac:dyDescent="0.3">
      <c r="B3" s="42" t="s">
        <v>0</v>
      </c>
    </row>
    <row r="4" spans="1:10" ht="18.75" thickBot="1" x14ac:dyDescent="0.3">
      <c r="A4" s="42"/>
      <c r="B4" s="163" t="s">
        <v>96</v>
      </c>
      <c r="C4" s="194"/>
      <c r="D4" s="195"/>
    </row>
    <row r="5" spans="1:10" ht="20.25" x14ac:dyDescent="0.3">
      <c r="A5" s="28"/>
      <c r="B5" s="64"/>
    </row>
    <row r="6" spans="1:10" ht="21.6" customHeight="1" thickBot="1" x14ac:dyDescent="0.3">
      <c r="B6" s="65" t="s">
        <v>74</v>
      </c>
      <c r="D6" s="42"/>
      <c r="E6" s="42"/>
      <c r="F6" s="42"/>
      <c r="G6" s="42"/>
      <c r="H6" s="42"/>
    </row>
    <row r="7" spans="1:10" ht="21.6" customHeight="1" thickBot="1" x14ac:dyDescent="0.3">
      <c r="A7" s="25"/>
      <c r="B7" s="148" t="s">
        <v>14</v>
      </c>
      <c r="C7" s="193" t="s">
        <v>116</v>
      </c>
      <c r="D7" s="193"/>
      <c r="E7" s="193" t="s">
        <v>117</v>
      </c>
      <c r="F7" s="193"/>
      <c r="G7" s="35"/>
      <c r="H7" s="156" t="s">
        <v>31</v>
      </c>
      <c r="I7" s="156" t="s">
        <v>32</v>
      </c>
      <c r="J7" s="157" t="s">
        <v>33</v>
      </c>
    </row>
    <row r="8" spans="1:10" ht="18" customHeight="1" thickBot="1" x14ac:dyDescent="0.3">
      <c r="B8" s="149" t="s">
        <v>20</v>
      </c>
      <c r="C8" s="140">
        <v>1000</v>
      </c>
      <c r="D8" s="129" t="s">
        <v>75</v>
      </c>
      <c r="E8" s="174">
        <v>1000</v>
      </c>
      <c r="F8" s="129" t="s">
        <v>75</v>
      </c>
      <c r="G8" s="158" t="s">
        <v>35</v>
      </c>
      <c r="H8" s="137">
        <v>20</v>
      </c>
      <c r="I8" s="137">
        <v>10</v>
      </c>
      <c r="J8" s="138">
        <v>5</v>
      </c>
    </row>
    <row r="9" spans="1:10" ht="18" customHeight="1" thickBot="1" x14ac:dyDescent="0.3">
      <c r="B9" s="150" t="s">
        <v>50</v>
      </c>
      <c r="C9" s="141">
        <v>130</v>
      </c>
      <c r="D9" s="152" t="s">
        <v>18</v>
      </c>
      <c r="E9" s="141">
        <v>130</v>
      </c>
      <c r="F9" s="153" t="s">
        <v>18</v>
      </c>
      <c r="G9" s="162"/>
      <c r="H9" s="162"/>
      <c r="I9" s="162"/>
      <c r="J9" s="162"/>
    </row>
    <row r="10" spans="1:10" ht="18" customHeight="1" thickBot="1" x14ac:dyDescent="0.3">
      <c r="B10" s="150" t="s">
        <v>76</v>
      </c>
      <c r="C10" s="141">
        <v>90</v>
      </c>
      <c r="D10" s="153" t="s">
        <v>18</v>
      </c>
      <c r="E10" s="175">
        <v>100</v>
      </c>
      <c r="F10" s="153" t="s">
        <v>18</v>
      </c>
      <c r="G10" s="159"/>
      <c r="H10" s="160" t="s">
        <v>10</v>
      </c>
      <c r="I10" s="160" t="s">
        <v>32</v>
      </c>
      <c r="J10" s="161" t="s">
        <v>33</v>
      </c>
    </row>
    <row r="11" spans="1:10" ht="18" customHeight="1" thickBot="1" x14ac:dyDescent="0.3">
      <c r="B11" s="150" t="s">
        <v>59</v>
      </c>
      <c r="C11" s="141">
        <v>200</v>
      </c>
      <c r="D11" s="153" t="s">
        <v>18</v>
      </c>
      <c r="E11" s="175">
        <v>200</v>
      </c>
      <c r="F11" s="153" t="s">
        <v>18</v>
      </c>
      <c r="G11" s="158" t="s">
        <v>39</v>
      </c>
      <c r="H11" s="139">
        <v>1.4999999999999999E-2</v>
      </c>
      <c r="I11" s="137">
        <v>3.02</v>
      </c>
      <c r="J11" s="138">
        <v>1.72</v>
      </c>
    </row>
    <row r="12" spans="1:10" ht="18" customHeight="1" thickBot="1" x14ac:dyDescent="0.3">
      <c r="B12" s="150" t="s">
        <v>49</v>
      </c>
      <c r="C12" s="141">
        <v>130</v>
      </c>
      <c r="D12" s="152" t="s">
        <v>18</v>
      </c>
      <c r="E12" s="176">
        <v>140</v>
      </c>
      <c r="F12" s="153" t="s">
        <v>18</v>
      </c>
      <c r="G12" s="27"/>
      <c r="H12" s="27"/>
      <c r="I12" s="27"/>
      <c r="J12" s="27"/>
    </row>
    <row r="13" spans="1:10" ht="18" customHeight="1" x14ac:dyDescent="0.25">
      <c r="B13" s="150" t="s">
        <v>64</v>
      </c>
      <c r="C13" s="141">
        <v>130</v>
      </c>
      <c r="D13" s="153" t="s">
        <v>18</v>
      </c>
      <c r="E13" s="178"/>
      <c r="F13" s="153"/>
      <c r="J13" s="27"/>
    </row>
    <row r="14" spans="1:10" ht="18" customHeight="1" x14ac:dyDescent="0.25">
      <c r="A14" s="25"/>
      <c r="B14" s="150" t="s">
        <v>15</v>
      </c>
      <c r="C14" s="142">
        <v>1000</v>
      </c>
      <c r="D14" s="152" t="s">
        <v>17</v>
      </c>
      <c r="E14" s="179"/>
      <c r="F14" s="152"/>
      <c r="J14" s="27"/>
    </row>
    <row r="15" spans="1:10" ht="18" customHeight="1" x14ac:dyDescent="0.25">
      <c r="A15" s="25"/>
      <c r="B15" s="150" t="s">
        <v>16</v>
      </c>
      <c r="C15" s="143">
        <v>0.64</v>
      </c>
      <c r="D15" s="154"/>
      <c r="E15" s="180"/>
      <c r="F15" s="154"/>
      <c r="J15" s="27"/>
    </row>
    <row r="16" spans="1:10" ht="18" customHeight="1" x14ac:dyDescent="0.25">
      <c r="A16" s="25"/>
      <c r="B16" s="150" t="s">
        <v>48</v>
      </c>
      <c r="C16" s="142">
        <v>7</v>
      </c>
      <c r="D16" s="152" t="s">
        <v>90</v>
      </c>
      <c r="E16" s="179"/>
      <c r="F16" s="152"/>
      <c r="J16" s="27"/>
    </row>
    <row r="17" spans="1:10" ht="18" customHeight="1" thickBot="1" x14ac:dyDescent="0.3">
      <c r="A17" s="25"/>
      <c r="B17" s="150" t="s">
        <v>37</v>
      </c>
      <c r="C17" s="143">
        <v>0.91</v>
      </c>
      <c r="D17" s="152"/>
      <c r="E17" s="179"/>
      <c r="F17" s="152"/>
      <c r="G17" s="27"/>
      <c r="H17" s="27"/>
      <c r="I17" s="27"/>
      <c r="J17" s="27"/>
    </row>
    <row r="18" spans="1:10" ht="18" customHeight="1" x14ac:dyDescent="0.25">
      <c r="A18" s="25"/>
      <c r="B18" s="150" t="s">
        <v>19</v>
      </c>
      <c r="C18" s="143">
        <v>0.75</v>
      </c>
      <c r="D18" s="154"/>
      <c r="E18" s="181">
        <v>1.3</v>
      </c>
      <c r="F18" s="154"/>
      <c r="G18" s="27"/>
      <c r="H18" s="27"/>
      <c r="I18" s="27"/>
      <c r="J18" s="27"/>
    </row>
    <row r="19" spans="1:10" ht="18" customHeight="1" thickBot="1" x14ac:dyDescent="0.3">
      <c r="A19" s="25"/>
      <c r="B19" s="150" t="s">
        <v>47</v>
      </c>
      <c r="C19" s="144">
        <v>0.03</v>
      </c>
      <c r="D19" s="154"/>
      <c r="E19" s="146">
        <v>0.02</v>
      </c>
      <c r="F19" s="154"/>
      <c r="G19" s="27"/>
      <c r="H19" s="27"/>
      <c r="I19" s="27"/>
      <c r="J19" s="27"/>
    </row>
    <row r="20" spans="1:10" ht="18" customHeight="1" thickBot="1" x14ac:dyDescent="0.3">
      <c r="A20" s="25"/>
      <c r="B20" s="150" t="s">
        <v>23</v>
      </c>
      <c r="C20" s="145">
        <v>8.5</v>
      </c>
      <c r="D20" s="152" t="s">
        <v>18</v>
      </c>
      <c r="E20" s="179"/>
      <c r="F20" s="152"/>
      <c r="G20" s="27"/>
      <c r="H20" s="27"/>
      <c r="I20" s="27"/>
      <c r="J20" s="27"/>
    </row>
    <row r="21" spans="1:10" ht="18" customHeight="1" x14ac:dyDescent="0.25">
      <c r="A21" s="25"/>
      <c r="B21" s="150" t="s">
        <v>28</v>
      </c>
      <c r="C21" s="145">
        <v>2</v>
      </c>
      <c r="D21" s="183" t="s">
        <v>18</v>
      </c>
      <c r="E21" s="177">
        <v>2</v>
      </c>
      <c r="F21" s="152"/>
      <c r="G21" s="27"/>
      <c r="H21" s="27"/>
      <c r="I21" s="27"/>
      <c r="J21" s="27"/>
    </row>
    <row r="22" spans="1:10" ht="18" customHeight="1" x14ac:dyDescent="0.25">
      <c r="A22" s="25"/>
      <c r="B22" s="150" t="s">
        <v>27</v>
      </c>
      <c r="C22" s="145">
        <v>1.65</v>
      </c>
      <c r="D22" s="183" t="s">
        <v>18</v>
      </c>
      <c r="E22" s="141">
        <v>0.25</v>
      </c>
      <c r="F22" s="152" t="s">
        <v>18</v>
      </c>
      <c r="G22" s="27"/>
      <c r="H22" s="27"/>
      <c r="I22" s="27"/>
      <c r="J22" s="27"/>
    </row>
    <row r="23" spans="1:10" ht="18" customHeight="1" x14ac:dyDescent="0.25">
      <c r="A23" s="25"/>
      <c r="B23" s="150" t="s">
        <v>24</v>
      </c>
      <c r="C23" s="145">
        <v>1.5</v>
      </c>
      <c r="D23" s="183" t="s">
        <v>26</v>
      </c>
      <c r="E23" s="141">
        <v>1.5</v>
      </c>
      <c r="F23" s="152" t="s">
        <v>26</v>
      </c>
      <c r="G23" s="27"/>
      <c r="H23" s="27"/>
      <c r="I23" s="27"/>
      <c r="J23" s="27"/>
    </row>
    <row r="24" spans="1:10" ht="18" customHeight="1" thickBot="1" x14ac:dyDescent="0.3">
      <c r="B24" s="150" t="s">
        <v>25</v>
      </c>
      <c r="C24" s="145">
        <v>1.5</v>
      </c>
      <c r="D24" s="183" t="s">
        <v>26</v>
      </c>
      <c r="E24" s="176">
        <v>1.5</v>
      </c>
      <c r="F24" s="152" t="s">
        <v>26</v>
      </c>
    </row>
    <row r="25" spans="1:10" ht="18" customHeight="1" thickBot="1" x14ac:dyDescent="0.3">
      <c r="A25" s="5"/>
      <c r="B25" s="150" t="s">
        <v>40</v>
      </c>
      <c r="C25" s="145">
        <v>0.27</v>
      </c>
      <c r="D25" s="153" t="s">
        <v>42</v>
      </c>
      <c r="E25" s="178"/>
      <c r="F25" s="153"/>
    </row>
    <row r="26" spans="1:10" ht="18" customHeight="1" thickBot="1" x14ac:dyDescent="0.3">
      <c r="A26" s="66"/>
      <c r="B26" s="151" t="s">
        <v>41</v>
      </c>
      <c r="C26" s="146">
        <v>0.06</v>
      </c>
      <c r="D26" s="155"/>
      <c r="E26" s="182">
        <v>0.06</v>
      </c>
      <c r="F26" s="155"/>
      <c r="G26" s="66"/>
    </row>
    <row r="28" spans="1:10" ht="19.149999999999999" customHeight="1" x14ac:dyDescent="0.25"/>
    <row r="31" spans="1:10" ht="27.6" customHeight="1" x14ac:dyDescent="0.25"/>
    <row r="32" spans="1:10" ht="22.15" customHeight="1" x14ac:dyDescent="0.25"/>
    <row r="33" spans="1:1" ht="22.15" customHeight="1" x14ac:dyDescent="0.25"/>
    <row r="34" spans="1:1" ht="25.15" customHeight="1" x14ac:dyDescent="0.25">
      <c r="A34" s="26"/>
    </row>
    <row r="35" spans="1:1" ht="18" customHeight="1" x14ac:dyDescent="0.25"/>
    <row r="36" spans="1:1" ht="18" customHeight="1" x14ac:dyDescent="0.25"/>
    <row r="37" spans="1:1" ht="18" customHeight="1" x14ac:dyDescent="0.25"/>
    <row r="38" spans="1:1" ht="20.45" customHeight="1" x14ac:dyDescent="0.25"/>
    <row r="43" spans="1:1" ht="24" customHeight="1" x14ac:dyDescent="0.25"/>
    <row r="44" spans="1:1" ht="24" customHeight="1" x14ac:dyDescent="0.25"/>
    <row r="45" spans="1:1" ht="24" customHeight="1" x14ac:dyDescent="0.25"/>
    <row r="46" spans="1:1" ht="24" customHeight="1" x14ac:dyDescent="0.25"/>
    <row r="47" spans="1:1" ht="24" customHeight="1" x14ac:dyDescent="0.25"/>
    <row r="48" spans="1:1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1.6" hidden="1" customHeight="1" thickBot="1" x14ac:dyDescent="0.3"/>
    <row r="54" ht="21.6" hidden="1" customHeight="1" thickBot="1" x14ac:dyDescent="0.3"/>
    <row r="55" ht="21.6" hidden="1" customHeight="1" thickBot="1" x14ac:dyDescent="0.3"/>
    <row r="56" ht="18.600000000000001" customHeight="1" x14ac:dyDescent="0.25"/>
    <row r="57" ht="22.9" customHeight="1" x14ac:dyDescent="0.25"/>
  </sheetData>
  <sheetProtection sheet="1" selectLockedCells="1"/>
  <mergeCells count="3">
    <mergeCell ref="C7:D7"/>
    <mergeCell ref="E7:F7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249977111117893"/>
  </sheetPr>
  <dimension ref="B2:J32"/>
  <sheetViews>
    <sheetView showRowColHeaders="0" workbookViewId="0">
      <selection activeCell="I7" sqref="I7"/>
    </sheetView>
  </sheetViews>
  <sheetFormatPr defaultRowHeight="15" x14ac:dyDescent="0.25"/>
  <cols>
    <col min="2" max="2" width="20" customWidth="1"/>
    <col min="3" max="3" width="32.140625" customWidth="1"/>
    <col min="4" max="4" width="12.7109375" customWidth="1"/>
    <col min="5" max="5" width="38" customWidth="1"/>
    <col min="6" max="6" width="13.7109375" customWidth="1"/>
    <col min="7" max="7" width="0" hidden="1" customWidth="1"/>
    <col min="8" max="8" width="19.85546875" customWidth="1"/>
    <col min="9" max="9" width="9.5703125" customWidth="1"/>
    <col min="10" max="10" width="10.28515625" customWidth="1"/>
  </cols>
  <sheetData>
    <row r="2" spans="2:10" ht="20.25" x14ac:dyDescent="0.3">
      <c r="B2" s="28" t="s">
        <v>120</v>
      </c>
    </row>
    <row r="3" spans="2:10" ht="15.75" x14ac:dyDescent="0.25">
      <c r="B3" s="164" t="str">
        <f>IF('Data Entry'!C4="","",'Data Entry'!C4)</f>
        <v/>
      </c>
    </row>
    <row r="4" spans="2:10" ht="16.5" thickBot="1" x14ac:dyDescent="0.3">
      <c r="B4" s="34"/>
      <c r="C4" s="33"/>
    </row>
    <row r="5" spans="2:10" ht="16.5" thickBot="1" x14ac:dyDescent="0.3">
      <c r="B5" s="9"/>
      <c r="C5" s="59" t="s">
        <v>38</v>
      </c>
      <c r="D5" s="10"/>
      <c r="E5" s="60" t="s">
        <v>8</v>
      </c>
      <c r="F5" s="10"/>
      <c r="H5" s="119"/>
      <c r="I5" s="124" t="s">
        <v>38</v>
      </c>
      <c r="J5" s="120" t="s">
        <v>8</v>
      </c>
    </row>
    <row r="6" spans="2:10" ht="16.5" thickBot="1" x14ac:dyDescent="0.3">
      <c r="B6" s="35"/>
      <c r="C6" s="61" t="s">
        <v>66</v>
      </c>
      <c r="D6" s="8"/>
      <c r="E6" s="63" t="s">
        <v>73</v>
      </c>
      <c r="F6" s="8"/>
      <c r="H6" s="127" t="s">
        <v>45</v>
      </c>
      <c r="I6" s="128">
        <f>('Data Entry'!C8*'Data Entry'!C18)/2</f>
        <v>375</v>
      </c>
      <c r="J6" s="128">
        <f>('Data Entry'!C8*'Data Entry'!C18)/2</f>
        <v>375</v>
      </c>
    </row>
    <row r="7" spans="2:10" ht="18.75" thickBot="1" x14ac:dyDescent="0.3">
      <c r="B7" s="67" t="s">
        <v>6</v>
      </c>
      <c r="C7" s="68"/>
      <c r="D7" s="69"/>
      <c r="E7" s="70"/>
      <c r="F7" s="69"/>
      <c r="H7" s="121" t="s">
        <v>72</v>
      </c>
      <c r="I7" s="125">
        <v>0.41</v>
      </c>
      <c r="J7" s="125">
        <v>0.1</v>
      </c>
    </row>
    <row r="8" spans="2:10" ht="15.75" thickBot="1" x14ac:dyDescent="0.3">
      <c r="B8" s="107" t="s">
        <v>5</v>
      </c>
      <c r="C8" s="108"/>
      <c r="D8" s="109"/>
      <c r="E8" s="110"/>
      <c r="F8" s="109"/>
      <c r="H8" s="105" t="s">
        <v>77</v>
      </c>
      <c r="I8" s="131">
        <f>I6-(I6*I7)</f>
        <v>221.25</v>
      </c>
      <c r="J8" s="131">
        <f>J6*(1-J7)</f>
        <v>337.5</v>
      </c>
    </row>
    <row r="9" spans="2:10" ht="18" customHeight="1" thickBot="1" x14ac:dyDescent="0.3">
      <c r="B9" s="45" t="s">
        <v>10</v>
      </c>
      <c r="C9" s="46"/>
      <c r="D9" s="47"/>
      <c r="E9" s="46" t="s">
        <v>86</v>
      </c>
      <c r="F9" s="48">
        <f>('Keep Merino Ewe Hoggets'!J8-'Keep Merino Ewe Hoggets'!I8)*(1-'Data Entry'!C19)*'Data Entry'!C14/100*'Data Entry'!C15*'Data Entry'!C16*'Data Entry'!C17*(1-J9)</f>
        <v>4505.159568</v>
      </c>
      <c r="H9" s="110" t="s">
        <v>128</v>
      </c>
      <c r="I9" s="126"/>
      <c r="J9" s="188">
        <v>0.02</v>
      </c>
    </row>
    <row r="10" spans="2:10" ht="18" customHeight="1" x14ac:dyDescent="0.25">
      <c r="B10" s="49" t="s">
        <v>44</v>
      </c>
      <c r="C10" s="50" t="s">
        <v>93</v>
      </c>
      <c r="D10" s="51">
        <f>'Keep Merino Ewe Hoggets'!I6*'Keep Merino Ewe Hoggets'!I7*'Data Entry'!C11</f>
        <v>30750</v>
      </c>
      <c r="E10" s="50" t="s">
        <v>91</v>
      </c>
      <c r="F10" s="52">
        <f>'Keep Merino Ewe Hoggets'!J6*'Keep Merino Ewe Hoggets'!J7*'Data Entry'!C11</f>
        <v>7500</v>
      </c>
      <c r="G10" s="36">
        <f>F10/'Data Entry'!C11</f>
        <v>37.5</v>
      </c>
    </row>
    <row r="11" spans="2:10" ht="18" customHeight="1" x14ac:dyDescent="0.25">
      <c r="B11" s="49" t="s">
        <v>46</v>
      </c>
      <c r="C11" s="50"/>
      <c r="D11" s="53"/>
      <c r="E11" s="50" t="s">
        <v>92</v>
      </c>
      <c r="F11" s="52">
        <f>('Keep Merino Ewe Hoggets'!J8-'Keep Merino Ewe Hoggets'!I8)*(1-'Data Entry'!C19)*0.85*'Data Entry'!C9</f>
        <v>12460.25625</v>
      </c>
      <c r="G11" s="36">
        <f>F11/'Data Entry'!C9</f>
        <v>95.848124999999996</v>
      </c>
    </row>
    <row r="12" spans="2:10" ht="18" customHeight="1" x14ac:dyDescent="0.25">
      <c r="B12" s="49" t="s">
        <v>43</v>
      </c>
      <c r="C12" s="50"/>
      <c r="D12" s="53"/>
      <c r="E12" s="50" t="s">
        <v>130</v>
      </c>
      <c r="F12" s="52">
        <f>('Keep Merino Ewe Hoggets'!J8-'Keep Merino Ewe Hoggets'!I8)*(1-'Data Entry'!C19*3)*'Data Entry'!C12*(1-(J9*5))</f>
        <v>12377.137500000003</v>
      </c>
      <c r="G12" s="36">
        <f>F12/'Data Entry'!C12</f>
        <v>95.208750000000023</v>
      </c>
    </row>
    <row r="13" spans="2:10" ht="18" customHeight="1" x14ac:dyDescent="0.25">
      <c r="B13" s="49"/>
      <c r="C13" s="50"/>
      <c r="D13" s="53"/>
      <c r="E13" s="50"/>
      <c r="F13" s="52"/>
    </row>
    <row r="14" spans="2:10" ht="18" customHeight="1" x14ac:dyDescent="0.25">
      <c r="B14" s="103" t="s">
        <v>7</v>
      </c>
      <c r="C14" s="104"/>
      <c r="D14" s="105"/>
      <c r="E14" s="104"/>
      <c r="F14" s="106"/>
    </row>
    <row r="15" spans="2:10" ht="18" customHeight="1" x14ac:dyDescent="0.25">
      <c r="B15" s="49" t="s">
        <v>9</v>
      </c>
      <c r="C15" s="50"/>
      <c r="D15" s="53"/>
      <c r="E15" s="50"/>
      <c r="F15" s="55"/>
    </row>
    <row r="16" spans="2:10" ht="18" customHeight="1" thickBot="1" x14ac:dyDescent="0.3">
      <c r="B16" s="49"/>
      <c r="C16" s="50"/>
      <c r="D16" s="53"/>
      <c r="E16" s="50"/>
      <c r="F16" s="55"/>
    </row>
    <row r="17" spans="2:6" ht="18" customHeight="1" thickBot="1" x14ac:dyDescent="0.3">
      <c r="B17" s="62" t="s">
        <v>1</v>
      </c>
      <c r="C17" s="75"/>
      <c r="D17" s="76">
        <f>SUM(D10:D15)</f>
        <v>30750</v>
      </c>
      <c r="E17" s="75"/>
      <c r="F17" s="77">
        <f>SUM(F9:F15)</f>
        <v>36842.553318000006</v>
      </c>
    </row>
    <row r="18" spans="2:6" ht="15.75" thickBot="1" x14ac:dyDescent="0.3">
      <c r="B18" s="49"/>
      <c r="C18" s="50"/>
      <c r="D18" s="53"/>
      <c r="E18" s="50"/>
      <c r="F18" s="55"/>
    </row>
    <row r="19" spans="2:6" ht="18" x14ac:dyDescent="0.25">
      <c r="B19" s="71" t="s">
        <v>12</v>
      </c>
      <c r="C19" s="72"/>
      <c r="D19" s="73"/>
      <c r="E19" s="72"/>
      <c r="F19" s="74"/>
    </row>
    <row r="20" spans="2:6" ht="18" customHeight="1" x14ac:dyDescent="0.25">
      <c r="B20" s="54" t="s">
        <v>67</v>
      </c>
      <c r="C20" s="50"/>
      <c r="D20" s="53"/>
      <c r="E20" s="50"/>
      <c r="F20" s="55"/>
    </row>
    <row r="21" spans="2:6" ht="18" customHeight="1" x14ac:dyDescent="0.25">
      <c r="B21" s="49" t="s">
        <v>21</v>
      </c>
      <c r="C21" s="50"/>
      <c r="D21" s="53"/>
      <c r="E21" s="50"/>
      <c r="F21" s="52">
        <f>('Keep Merino Ewe Hoggets'!J8-'Keep Merino Ewe Hoggets'!I8)*(1-'Data Entry'!C19)*'Data Entry'!C20</f>
        <v>958.48125000000005</v>
      </c>
    </row>
    <row r="22" spans="2:6" ht="18" customHeight="1" x14ac:dyDescent="0.25">
      <c r="B22" s="49" t="s">
        <v>68</v>
      </c>
      <c r="C22" s="50"/>
      <c r="D22" s="53"/>
      <c r="E22" s="50"/>
      <c r="F22" s="52">
        <f>('Keep Merino Ewe Hoggets'!J8-'Keep Merino Ewe Hoggets'!I8)*(1-'Data Entry'!C19)*'Data Entry'!C22</f>
        <v>186.05812499999999</v>
      </c>
    </row>
    <row r="23" spans="2:6" ht="18" customHeight="1" x14ac:dyDescent="0.25">
      <c r="B23" s="49" t="s">
        <v>28</v>
      </c>
      <c r="C23" s="50"/>
      <c r="D23" s="53"/>
      <c r="E23" s="50"/>
      <c r="F23" s="52">
        <f>('Keep Merino Ewe Hoggets'!J8-'Keep Merino Ewe Hoggets'!I8)*(1-'Data Entry'!C19)*'Data Entry'!C21</f>
        <v>225.52500000000001</v>
      </c>
    </row>
    <row r="24" spans="2:6" ht="18" customHeight="1" x14ac:dyDescent="0.25">
      <c r="B24" s="49" t="s">
        <v>29</v>
      </c>
      <c r="C24" s="50"/>
      <c r="D24" s="53"/>
      <c r="E24" s="50"/>
      <c r="F24" s="56">
        <f>('Keep Merino Ewe Hoggets'!J8-'Keep Merino Ewe Hoggets'!I8)*(1-'Data Entry'!C19)*'Data Entry'!C16*0.98*'Data Entry'!C25+(F9*'Data Entry'!H12)</f>
        <v>208.85870250000002</v>
      </c>
    </row>
    <row r="25" spans="2:6" ht="18" customHeight="1" x14ac:dyDescent="0.25">
      <c r="B25" s="49" t="s">
        <v>30</v>
      </c>
      <c r="C25" s="50"/>
      <c r="D25" s="51">
        <f>(D10*'Data Entry'!C26)+('Keep Merino Ewe Hoggets'!D10/'Data Entry'!C12*'Data Entry'!J11)</f>
        <v>2251.8461538461538</v>
      </c>
      <c r="E25" s="50"/>
      <c r="F25" s="56">
        <f>(F10+F11+F12)*'Data Entry'!C26+(G10+G12)*'Data Entry'!J11+'Keep Merino Ewe Hoggets'!G11*'Data Entry'!I11</f>
        <v>2457.9640125000001</v>
      </c>
    </row>
    <row r="26" spans="2:6" ht="18" customHeight="1" x14ac:dyDescent="0.25">
      <c r="B26" s="49" t="s">
        <v>34</v>
      </c>
      <c r="C26" s="50"/>
      <c r="D26" s="53"/>
      <c r="E26" s="50"/>
      <c r="F26" s="52">
        <f>('Keep Merino Ewe Hoggets'!J8-'Keep Merino Ewe Hoggets'!I8)*(1-'Data Entry'!C19)*'Data Entry'!C16/190*'Data Entry'!H8</f>
        <v>83.088157894736838</v>
      </c>
    </row>
    <row r="27" spans="2:6" ht="18" customHeight="1" x14ac:dyDescent="0.25">
      <c r="B27" s="49" t="s">
        <v>69</v>
      </c>
      <c r="C27" s="50"/>
      <c r="D27" s="53"/>
      <c r="E27" s="50"/>
      <c r="F27" s="52">
        <f>G11*'Data Entry'!I8</f>
        <v>958.48124999999993</v>
      </c>
    </row>
    <row r="28" spans="2:6" ht="18" customHeight="1" x14ac:dyDescent="0.25">
      <c r="B28" s="49" t="s">
        <v>70</v>
      </c>
      <c r="C28" s="50"/>
      <c r="D28" s="51">
        <f>'Keep Merino Ewe Hoggets'!D10/'Data Entry'!C12*'Data Entry'!J8</f>
        <v>1182.6923076923076</v>
      </c>
      <c r="E28" s="50"/>
      <c r="F28" s="52">
        <f>(G10+G12)*'Data Entry'!J8</f>
        <v>663.54375000000005</v>
      </c>
    </row>
    <row r="29" spans="2:6" ht="18" customHeight="1" x14ac:dyDescent="0.25">
      <c r="B29" s="49" t="s">
        <v>24</v>
      </c>
      <c r="C29" s="50"/>
      <c r="D29" s="53"/>
      <c r="E29" s="50"/>
      <c r="F29" s="52">
        <f>('Keep Merino Ewe Hoggets'!J8-'Keep Merino Ewe Hoggets'!I8)*(1-'Data Entry'!C19)*'Data Entry'!C23</f>
        <v>169.14375000000001</v>
      </c>
    </row>
    <row r="30" spans="2:6" ht="18" customHeight="1" thickBot="1" x14ac:dyDescent="0.3">
      <c r="B30" s="44" t="s">
        <v>25</v>
      </c>
      <c r="C30" s="57"/>
      <c r="D30" s="43"/>
      <c r="E30" s="57"/>
      <c r="F30" s="58">
        <f>('Keep Merino Ewe Hoggets'!J8-'Keep Merino Ewe Hoggets'!I8)*(1-'Data Entry'!C19)*'Data Entry'!C24</f>
        <v>169.14375000000001</v>
      </c>
    </row>
    <row r="31" spans="2:6" ht="18.75" thickBot="1" x14ac:dyDescent="0.3">
      <c r="B31" s="78" t="s">
        <v>3</v>
      </c>
      <c r="C31" s="75"/>
      <c r="D31" s="76">
        <f>SUM(D20:D30)</f>
        <v>3434.5384615384614</v>
      </c>
      <c r="E31" s="75"/>
      <c r="F31" s="77">
        <f>SUM(F21:F30)</f>
        <v>6080.2877478947366</v>
      </c>
    </row>
    <row r="32" spans="2:6" ht="18.75" thickBot="1" x14ac:dyDescent="0.3">
      <c r="B32" s="67" t="s">
        <v>71</v>
      </c>
      <c r="C32" s="116"/>
      <c r="D32" s="117">
        <f>D17-D31</f>
        <v>27315.461538461539</v>
      </c>
      <c r="E32" s="116"/>
      <c r="F32" s="118">
        <f>F17-F31</f>
        <v>30762.265570105268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39997558519241921"/>
  </sheetPr>
  <dimension ref="B2:K35"/>
  <sheetViews>
    <sheetView showRowColHeaders="0" workbookViewId="0">
      <selection activeCell="D33" sqref="D33"/>
    </sheetView>
  </sheetViews>
  <sheetFormatPr defaultRowHeight="15" x14ac:dyDescent="0.25"/>
  <cols>
    <col min="2" max="2" width="21.7109375" customWidth="1"/>
    <col min="3" max="3" width="35.140625" customWidth="1"/>
    <col min="4" max="4" width="13.85546875" customWidth="1"/>
    <col min="5" max="5" width="40.42578125" customWidth="1"/>
    <col min="6" max="6" width="15.28515625" customWidth="1"/>
    <col min="7" max="7" width="5.28515625" hidden="1" customWidth="1"/>
    <col min="8" max="8" width="23.28515625" customWidth="1"/>
  </cols>
  <sheetData>
    <row r="2" spans="2:11" ht="20.25" x14ac:dyDescent="0.3">
      <c r="B2" s="28" t="s">
        <v>65</v>
      </c>
    </row>
    <row r="3" spans="2:11" ht="15.75" x14ac:dyDescent="0.25">
      <c r="B3" s="164" t="str">
        <f>IF('Data Entry'!C4="","",'Data Entry'!C4)</f>
        <v/>
      </c>
    </row>
    <row r="4" spans="2:11" ht="15.75" thickBot="1" x14ac:dyDescent="0.3"/>
    <row r="5" spans="2:11" ht="15.75" thickBot="1" x14ac:dyDescent="0.3">
      <c r="B5" s="79"/>
      <c r="C5" s="80" t="s">
        <v>38</v>
      </c>
      <c r="D5" s="81"/>
      <c r="E5" s="80" t="s">
        <v>8</v>
      </c>
      <c r="F5" s="82"/>
      <c r="H5" s="130" t="s">
        <v>56</v>
      </c>
      <c r="I5" s="128">
        <f>'Data Entry'!C8</f>
        <v>1000</v>
      </c>
      <c r="J5" s="129">
        <f>'Data Entry'!C8</f>
        <v>1000</v>
      </c>
    </row>
    <row r="6" spans="2:11" ht="15.75" thickBot="1" x14ac:dyDescent="0.3">
      <c r="B6" s="83"/>
      <c r="C6" s="196" t="s">
        <v>89</v>
      </c>
      <c r="D6" s="197"/>
      <c r="E6" s="84" t="s">
        <v>52</v>
      </c>
      <c r="F6" s="85"/>
      <c r="H6" s="130" t="s">
        <v>45</v>
      </c>
      <c r="I6" s="128">
        <f>('Data Entry'!C8*'Data Entry'!C18)/2</f>
        <v>375</v>
      </c>
      <c r="J6" s="128">
        <f>('Data Entry'!C8*'Data Entry'!C18)/2</f>
        <v>375</v>
      </c>
    </row>
    <row r="7" spans="2:11" ht="18.75" thickBot="1" x14ac:dyDescent="0.3">
      <c r="B7" s="114" t="s">
        <v>6</v>
      </c>
      <c r="C7" s="31"/>
      <c r="D7" s="31"/>
      <c r="E7" s="31"/>
      <c r="F7" s="32"/>
      <c r="H7" s="103" t="s">
        <v>72</v>
      </c>
      <c r="I7" s="125">
        <v>0.41</v>
      </c>
      <c r="J7" s="125">
        <v>0.1</v>
      </c>
    </row>
    <row r="8" spans="2:11" ht="18" customHeight="1" thickBot="1" x14ac:dyDescent="0.3">
      <c r="B8" s="86" t="s">
        <v>5</v>
      </c>
      <c r="C8" s="87"/>
      <c r="D8" s="87"/>
      <c r="E8" s="87"/>
      <c r="F8" s="88"/>
      <c r="H8" s="103" t="s">
        <v>82</v>
      </c>
      <c r="I8" s="131">
        <f>I6-(I6*I7)</f>
        <v>221.25</v>
      </c>
      <c r="J8" s="131">
        <f>J6*(1-J7)</f>
        <v>337.5</v>
      </c>
    </row>
    <row r="9" spans="2:11" ht="18" customHeight="1" thickBot="1" x14ac:dyDescent="0.3">
      <c r="B9" s="2" t="s">
        <v>10</v>
      </c>
      <c r="C9" s="3"/>
      <c r="D9" s="14"/>
      <c r="E9" s="3" t="s">
        <v>86</v>
      </c>
      <c r="F9" s="14">
        <f>('Keep Merino Ewe Hoggets'!J8-'Keep Merino Ewe Hoggets'!I8)*(1-'Data Entry'!C19)*'Data Entry'!C14/100*'Data Entry'!C15*'Data Entry'!C16*'Data Entry'!C17*(1-J14)</f>
        <v>4505.159568</v>
      </c>
      <c r="H9" s="103" t="s">
        <v>83</v>
      </c>
      <c r="I9" s="133">
        <v>185</v>
      </c>
      <c r="J9" s="133">
        <v>56</v>
      </c>
    </row>
    <row r="10" spans="2:11" ht="18" customHeight="1" thickBot="1" x14ac:dyDescent="0.3">
      <c r="B10" s="2" t="s">
        <v>44</v>
      </c>
      <c r="C10" s="3" t="s">
        <v>93</v>
      </c>
      <c r="D10" s="30">
        <f>'Keep Merino Ewe Hoggets'!I6*0.41*200</f>
        <v>30750</v>
      </c>
      <c r="E10" s="3" t="s">
        <v>91</v>
      </c>
      <c r="F10" s="14">
        <f>('Keep Merino Ewe Hoggets'!J6*'Keep Merino Ewe Hoggets'!J7*'Data Entry'!C11)</f>
        <v>7500</v>
      </c>
      <c r="G10">
        <f>'Keep Merino Ewe Hoggets'!J6*'Keep Merino Ewe Hoggets'!J7</f>
        <v>37.5</v>
      </c>
      <c r="H10" s="103" t="s">
        <v>84</v>
      </c>
      <c r="I10" s="131">
        <f>'Keep Merino Ewe Hoggets'!I8</f>
        <v>221.25</v>
      </c>
      <c r="J10" s="131">
        <f>J8</f>
        <v>337.5</v>
      </c>
    </row>
    <row r="11" spans="2:11" ht="18" customHeight="1" thickBot="1" x14ac:dyDescent="0.3">
      <c r="B11" s="2" t="s">
        <v>46</v>
      </c>
      <c r="C11" s="3"/>
      <c r="D11" s="15"/>
      <c r="E11" s="3" t="s">
        <v>95</v>
      </c>
      <c r="F11" s="14">
        <f>(('Keep Merino Ewe Hoggets'!J8-'Keep Merino Ewe Hoggets'!I8)*'Data Entry'!C18)/2*'Data Entry'!C10</f>
        <v>3923.4375</v>
      </c>
      <c r="G11">
        <f>(('Keep Merino Ewe Hoggets'!J8-'Keep Merino Ewe Hoggets'!I8)*'Data Entry'!C18)/2</f>
        <v>43.59375</v>
      </c>
      <c r="H11" s="103" t="s">
        <v>85</v>
      </c>
      <c r="I11" s="133">
        <v>185</v>
      </c>
      <c r="J11" s="131">
        <f>(J5+J8-J9-134)*K11</f>
        <v>240.97499999999999</v>
      </c>
      <c r="K11" s="191">
        <v>0.21</v>
      </c>
    </row>
    <row r="12" spans="2:11" ht="18" customHeight="1" thickBot="1" x14ac:dyDescent="0.3">
      <c r="B12" s="2" t="s">
        <v>43</v>
      </c>
      <c r="C12" s="3" t="s">
        <v>94</v>
      </c>
      <c r="D12" s="15">
        <f>'Data Entry'!C12*'Cull Poor Performers'!I9</f>
        <v>24050</v>
      </c>
      <c r="E12" s="3" t="s">
        <v>94</v>
      </c>
      <c r="F12" s="14">
        <f>J9*'Data Entry'!C12</f>
        <v>7280</v>
      </c>
      <c r="G12">
        <f>J9</f>
        <v>56</v>
      </c>
      <c r="H12" s="103" t="s">
        <v>57</v>
      </c>
      <c r="I12" s="131">
        <f>(I5+I8)*'Data Entry'!C19</f>
        <v>36.637499999999996</v>
      </c>
      <c r="J12" s="131">
        <f>(J5+J8)*'Data Entry'!C19</f>
        <v>40.125</v>
      </c>
    </row>
    <row r="13" spans="2:11" ht="18" customHeight="1" thickBot="1" x14ac:dyDescent="0.3">
      <c r="B13" s="2" t="s">
        <v>53</v>
      </c>
      <c r="C13" s="3"/>
      <c r="D13" s="30"/>
      <c r="E13" s="3" t="s">
        <v>87</v>
      </c>
      <c r="F13" s="14">
        <f>(J11)*'Data Entry'!C12*(1-(2*J14))</f>
        <v>30073.68</v>
      </c>
      <c r="G13" s="36">
        <f>J11</f>
        <v>240.97499999999999</v>
      </c>
      <c r="H13" s="190" t="s">
        <v>58</v>
      </c>
      <c r="I13" s="131">
        <f>I5+I8-I9-I12</f>
        <v>999.61249999999995</v>
      </c>
      <c r="J13" s="131">
        <f>J5+J8-J9-J11-J12</f>
        <v>1000.4000000000001</v>
      </c>
      <c r="K13" s="192" t="str">
        <f>IF(J13&gt;(J5+2),"Too high",IF(J13&lt;(J5-2),"Too Low",""))</f>
        <v/>
      </c>
    </row>
    <row r="14" spans="2:11" ht="25.9" customHeight="1" thickBot="1" x14ac:dyDescent="0.3">
      <c r="B14" s="1" t="s">
        <v>54</v>
      </c>
      <c r="C14" s="3"/>
      <c r="D14" s="3"/>
      <c r="E14" s="3" t="s">
        <v>55</v>
      </c>
      <c r="F14" s="15">
        <f>J5*0.5*0.15*'Data Entry'!C18*AVERAGE('Data Entry'!C10:'Data Entry'!C11)</f>
        <v>8156.25</v>
      </c>
      <c r="G14">
        <f>J13*0.5*0.15</f>
        <v>75.03</v>
      </c>
      <c r="H14" s="107" t="s">
        <v>128</v>
      </c>
      <c r="I14" s="126">
        <v>0</v>
      </c>
      <c r="J14" s="188">
        <v>0.02</v>
      </c>
    </row>
    <row r="15" spans="2:11" ht="18" customHeight="1" thickBot="1" x14ac:dyDescent="0.3">
      <c r="B15" s="89" t="s">
        <v>7</v>
      </c>
      <c r="C15" s="90"/>
      <c r="D15" s="90"/>
      <c r="E15" s="90"/>
      <c r="F15" s="91"/>
    </row>
    <row r="16" spans="2:11" ht="18" customHeight="1" thickBot="1" x14ac:dyDescent="0.3">
      <c r="B16" s="16" t="s">
        <v>11</v>
      </c>
      <c r="C16" s="7"/>
      <c r="D16" s="11"/>
      <c r="E16" s="7"/>
      <c r="F16" s="6"/>
    </row>
    <row r="17" spans="2:6" ht="18" customHeight="1" thickBot="1" x14ac:dyDescent="0.3">
      <c r="B17" s="1" t="s">
        <v>9</v>
      </c>
      <c r="C17" s="7"/>
      <c r="D17" s="11"/>
      <c r="E17" s="7"/>
      <c r="F17" s="11"/>
    </row>
    <row r="18" spans="2:6" ht="18" customHeight="1" thickBot="1" x14ac:dyDescent="0.3">
      <c r="B18" s="92" t="s">
        <v>1</v>
      </c>
      <c r="C18" s="93"/>
      <c r="D18" s="94">
        <f>SUM(D9:D13)+D16-D17</f>
        <v>54800</v>
      </c>
      <c r="E18" s="93"/>
      <c r="F18" s="94">
        <f>SUM(F9:F14)+F16-F17</f>
        <v>61438.527067999996</v>
      </c>
    </row>
    <row r="19" spans="2:6" ht="15.75" thickTop="1" x14ac:dyDescent="0.25">
      <c r="B19" s="12"/>
      <c r="C19" s="13"/>
      <c r="D19" s="18"/>
      <c r="E19" s="13"/>
      <c r="F19" s="19"/>
    </row>
    <row r="20" spans="2:6" ht="18.75" thickBot="1" x14ac:dyDescent="0.3">
      <c r="B20" s="113" t="s">
        <v>12</v>
      </c>
      <c r="C20" s="22"/>
      <c r="D20" s="23"/>
      <c r="E20" s="22"/>
      <c r="F20" s="24"/>
    </row>
    <row r="21" spans="2:6" ht="28.9" customHeight="1" thickTop="1" thickBot="1" x14ac:dyDescent="0.3">
      <c r="B21" s="198" t="s">
        <v>13</v>
      </c>
      <c r="C21" s="199"/>
      <c r="D21" s="95"/>
      <c r="E21" s="95"/>
      <c r="F21" s="96"/>
    </row>
    <row r="22" spans="2:6" ht="18" customHeight="1" thickBot="1" x14ac:dyDescent="0.3">
      <c r="B22" s="2" t="s">
        <v>21</v>
      </c>
      <c r="C22" s="3"/>
      <c r="D22" s="14"/>
      <c r="E22" s="3" t="s">
        <v>22</v>
      </c>
      <c r="F22" s="14">
        <f>('Keep Merino Ewe Hoggets'!J8-'Keep Merino Ewe Hoggets'!I8)*'Data Entry'!C20</f>
        <v>988.125</v>
      </c>
    </row>
    <row r="23" spans="2:6" ht="18" customHeight="1" thickBot="1" x14ac:dyDescent="0.3">
      <c r="B23" s="2" t="s">
        <v>27</v>
      </c>
      <c r="C23" s="3"/>
      <c r="D23" s="14"/>
      <c r="E23" s="3"/>
      <c r="F23" s="14">
        <f>('Keep Merino Ewe Hoggets'!J8-'Keep Merino Ewe Hoggets'!I8)*'Data Entry'!C22</f>
        <v>191.8125</v>
      </c>
    </row>
    <row r="24" spans="2:6" ht="18" customHeight="1" thickBot="1" x14ac:dyDescent="0.3">
      <c r="B24" s="2" t="s">
        <v>28</v>
      </c>
      <c r="C24" s="3"/>
      <c r="D24" s="14"/>
      <c r="E24" s="3"/>
      <c r="F24" s="14">
        <f>('Keep Merino Ewe Hoggets'!J8-'Keep Merino Ewe Hoggets'!I8)*'Data Entry'!C21</f>
        <v>232.5</v>
      </c>
    </row>
    <row r="25" spans="2:6" ht="18" customHeight="1" thickBot="1" x14ac:dyDescent="0.3">
      <c r="B25" s="2" t="s">
        <v>29</v>
      </c>
      <c r="C25" s="3"/>
      <c r="D25" s="14"/>
      <c r="E25" s="3"/>
      <c r="F25" s="14">
        <f>('Keep Merino Ewe Hoggets'!J8-'Keep Merino Ewe Hoggets'!I8)*(1-'Data Entry'!C19)*'Data Entry'!C16*0.98*'Data Entry'!C25+(F9*'Data Entry'!H11)</f>
        <v>276.43609602000004</v>
      </c>
    </row>
    <row r="26" spans="2:6" ht="18" customHeight="1" thickBot="1" x14ac:dyDescent="0.3">
      <c r="B26" s="2" t="s">
        <v>30</v>
      </c>
      <c r="C26" s="3"/>
      <c r="D26" s="14">
        <f>(D10+D12)*'Data Entry'!C26+(('Keep Merino Ewe Hoggets'!I6-'Keep Merino Ewe Hoggets'!I8+'Cull Poor Performers'!I9)*'Data Entry'!J11)</f>
        <v>3870.65</v>
      </c>
      <c r="E26" s="3"/>
      <c r="F26" s="14">
        <f>(F10+F11+F12+F13+F14)*'Data Entry'!C26+(G11+G14)*'Data Entry'!I11+(G10+G12+G13)*'Data Entry'!J11</f>
        <v>4349.5427749999999</v>
      </c>
    </row>
    <row r="27" spans="2:6" ht="18" customHeight="1" thickBot="1" x14ac:dyDescent="0.3">
      <c r="B27" s="2" t="s">
        <v>34</v>
      </c>
      <c r="C27" s="3"/>
      <c r="D27" s="14"/>
      <c r="E27" s="3"/>
      <c r="F27" s="14">
        <f>(('Keep Merino Ewe Hoggets'!J8-'Keep Merino Ewe Hoggets'!I8)*'Data Entry'!C16)/190*'Data Entry'!H8</f>
        <v>85.65789473684211</v>
      </c>
    </row>
    <row r="28" spans="2:6" ht="18" customHeight="1" thickBot="1" x14ac:dyDescent="0.3">
      <c r="B28" s="2" t="s">
        <v>36</v>
      </c>
      <c r="C28" s="3"/>
      <c r="D28" s="14"/>
      <c r="E28" s="3"/>
      <c r="F28" s="14">
        <f>('Cull Poor Performers'!G11+'Cull Poor Performers'!G14)*'Data Entry'!I8</f>
        <v>1186.2375</v>
      </c>
    </row>
    <row r="29" spans="2:6" ht="18" customHeight="1" thickBot="1" x14ac:dyDescent="0.3">
      <c r="B29" s="2" t="s">
        <v>51</v>
      </c>
      <c r="C29" s="3"/>
      <c r="D29" s="14">
        <f>(('Keep Merino Ewe Hoggets'!I6-'Keep Merino Ewe Hoggets'!I8)*0.98+'Cull Poor Performers'!I9)*'Data Entry'!J8</f>
        <v>1678.375</v>
      </c>
      <c r="E29" s="3"/>
      <c r="F29" s="14">
        <f>(G10+G12+G13)*'Data Entry'!J8</f>
        <v>1672.375</v>
      </c>
    </row>
    <row r="30" spans="2:6" ht="18" customHeight="1" thickBot="1" x14ac:dyDescent="0.3">
      <c r="B30" s="2" t="s">
        <v>24</v>
      </c>
      <c r="C30" s="3"/>
      <c r="D30" s="14"/>
      <c r="E30" s="3"/>
      <c r="F30" s="14">
        <f>('Keep Merino Ewe Hoggets'!J8-'Keep Merino Ewe Hoggets'!I8)*(1-'Data Entry'!C19)*1.2*'Data Entry'!C23</f>
        <v>202.9725</v>
      </c>
    </row>
    <row r="31" spans="2:6" ht="18" customHeight="1" thickBot="1" x14ac:dyDescent="0.3">
      <c r="B31" s="29" t="s">
        <v>25</v>
      </c>
      <c r="C31" s="3"/>
      <c r="D31" s="14"/>
      <c r="E31" s="3"/>
      <c r="F31" s="14">
        <f>('Keep Merino Ewe Hoggets'!J8-'Keep Merino Ewe Hoggets'!I8)*(1-'Data Entry'!C19)*1.2*'Data Entry'!C24</f>
        <v>202.9725</v>
      </c>
    </row>
    <row r="32" spans="2:6" ht="18" customHeight="1" thickBot="1" x14ac:dyDescent="0.3">
      <c r="B32" s="97" t="s">
        <v>2</v>
      </c>
      <c r="C32" s="98"/>
      <c r="D32" s="99"/>
      <c r="E32" s="99"/>
      <c r="F32" s="100"/>
    </row>
    <row r="33" spans="2:6" ht="18" customHeight="1" thickBot="1" x14ac:dyDescent="0.3">
      <c r="B33" s="4" t="s">
        <v>4</v>
      </c>
      <c r="C33" s="3"/>
      <c r="D33" s="165"/>
      <c r="E33" s="3"/>
      <c r="F33" s="166"/>
    </row>
    <row r="34" spans="2:6" ht="18.75" thickBot="1" x14ac:dyDescent="0.3">
      <c r="B34" s="111" t="s">
        <v>3</v>
      </c>
      <c r="C34" s="101"/>
      <c r="D34" s="102">
        <f>SUM(D22:D33)</f>
        <v>5549.0249999999996</v>
      </c>
      <c r="E34" s="101"/>
      <c r="F34" s="102">
        <f>SUM(F22:F33)</f>
        <v>9388.6317657568434</v>
      </c>
    </row>
    <row r="35" spans="2:6" ht="18.75" thickBot="1" x14ac:dyDescent="0.3">
      <c r="B35" s="112" t="s">
        <v>71</v>
      </c>
      <c r="C35" s="17"/>
      <c r="D35" s="20">
        <f>D18-D34</f>
        <v>49250.974999999999</v>
      </c>
      <c r="E35" s="21"/>
      <c r="F35" s="20">
        <f>F18-F34</f>
        <v>52049.895302243152</v>
      </c>
    </row>
  </sheetData>
  <sheetProtection sheet="1" selectLockedCells="1"/>
  <mergeCells count="2">
    <mergeCell ref="C6:D6"/>
    <mergeCell ref="B21:C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</sheetPr>
  <dimension ref="B2:I33"/>
  <sheetViews>
    <sheetView showRowColHeaders="0" workbookViewId="0">
      <selection activeCell="H7" sqref="H7"/>
    </sheetView>
  </sheetViews>
  <sheetFormatPr defaultRowHeight="15" x14ac:dyDescent="0.25"/>
  <cols>
    <col min="2" max="2" width="21.7109375" customWidth="1"/>
    <col min="3" max="3" width="38.7109375" customWidth="1"/>
    <col min="4" max="4" width="14.28515625" customWidth="1"/>
    <col min="5" max="5" width="45.5703125" customWidth="1"/>
    <col min="6" max="6" width="14.7109375" customWidth="1"/>
    <col min="7" max="7" width="21" customWidth="1"/>
    <col min="8" max="8" width="9.85546875" customWidth="1"/>
    <col min="9" max="9" width="10.42578125" customWidth="1"/>
  </cols>
  <sheetData>
    <row r="2" spans="2:9" ht="20.25" x14ac:dyDescent="0.3">
      <c r="B2" s="28" t="s">
        <v>119</v>
      </c>
    </row>
    <row r="3" spans="2:9" ht="15.75" x14ac:dyDescent="0.25">
      <c r="B3" s="164" t="str">
        <f>IF('Data Entry'!C4="","",'Data Entry'!C4)</f>
        <v/>
      </c>
    </row>
    <row r="4" spans="2:9" ht="15.75" thickBot="1" x14ac:dyDescent="0.3"/>
    <row r="5" spans="2:9" ht="15.75" thickBot="1" x14ac:dyDescent="0.3">
      <c r="B5" s="79"/>
      <c r="C5" s="80" t="s">
        <v>38</v>
      </c>
      <c r="D5" s="82"/>
      <c r="E5" s="80" t="s">
        <v>8</v>
      </c>
      <c r="F5" s="82"/>
      <c r="G5" s="119"/>
      <c r="H5" s="124" t="s">
        <v>38</v>
      </c>
      <c r="I5" s="120" t="s">
        <v>8</v>
      </c>
    </row>
    <row r="6" spans="2:9" ht="15.75" thickBot="1" x14ac:dyDescent="0.3">
      <c r="B6" s="83"/>
      <c r="C6" s="196" t="s">
        <v>60</v>
      </c>
      <c r="D6" s="197"/>
      <c r="E6" s="196" t="s">
        <v>129</v>
      </c>
      <c r="F6" s="203"/>
      <c r="G6" s="128" t="s">
        <v>78</v>
      </c>
      <c r="H6" s="128">
        <f>('Data Entry'!C8*'Data Entry'!C18)/2</f>
        <v>375</v>
      </c>
      <c r="I6" s="129">
        <f>('Data Entry'!C8*'Data Entry'!C18)/2</f>
        <v>375</v>
      </c>
    </row>
    <row r="7" spans="2:9" ht="18.75" thickBot="1" x14ac:dyDescent="0.3">
      <c r="B7" s="204" t="s">
        <v>6</v>
      </c>
      <c r="C7" s="205"/>
      <c r="D7" s="205"/>
      <c r="E7" s="205"/>
      <c r="F7" s="205"/>
      <c r="G7" s="104" t="s">
        <v>79</v>
      </c>
      <c r="H7" s="125">
        <v>1</v>
      </c>
      <c r="I7" s="122">
        <v>0.1</v>
      </c>
    </row>
    <row r="8" spans="2:9" ht="18" customHeight="1" thickBot="1" x14ac:dyDescent="0.3">
      <c r="B8" s="86" t="s">
        <v>5</v>
      </c>
      <c r="C8" s="87"/>
      <c r="D8" s="87"/>
      <c r="E8" s="87"/>
      <c r="F8" s="87"/>
      <c r="G8" s="104" t="s">
        <v>80</v>
      </c>
      <c r="H8" s="131">
        <f>H6-(H6*H7)</f>
        <v>0</v>
      </c>
      <c r="I8" s="132">
        <f>I6*(1-I7)</f>
        <v>337.5</v>
      </c>
    </row>
    <row r="9" spans="2:9" ht="20.45" customHeight="1" thickBot="1" x14ac:dyDescent="0.3">
      <c r="B9" s="38" t="s">
        <v>10</v>
      </c>
      <c r="C9" s="3"/>
      <c r="D9" s="14"/>
      <c r="E9" s="3" t="s">
        <v>127</v>
      </c>
      <c r="F9" s="184">
        <f>'Keep Merino Ewe Hoggets'!J6*(1-'Keep Merino Ewe Hoggets'!J7)*(1-'Data Entry'!$C$19)*'Data Entry'!C14/100*'Data Entry'!C15*'Data Entry'!$C$16*'Data Entry'!C17*(1-I10)</f>
        <v>13079.495519999999</v>
      </c>
      <c r="G9" s="104" t="s">
        <v>124</v>
      </c>
      <c r="H9" s="104">
        <v>0</v>
      </c>
      <c r="I9" s="134">
        <v>2</v>
      </c>
    </row>
    <row r="10" spans="2:9" ht="21" customHeight="1" thickBot="1" x14ac:dyDescent="0.3">
      <c r="B10" s="38" t="s">
        <v>61</v>
      </c>
      <c r="C10" s="3" t="s">
        <v>62</v>
      </c>
      <c r="D10" s="30">
        <f>(H6*H7*'Data Entry'!C10)</f>
        <v>33750</v>
      </c>
      <c r="E10" s="3" t="s">
        <v>81</v>
      </c>
      <c r="F10" s="184">
        <f>(I6*I7*'Data Entry'!C10)</f>
        <v>3375</v>
      </c>
      <c r="G10" s="185" t="s">
        <v>128</v>
      </c>
      <c r="H10" s="187"/>
      <c r="I10" s="186">
        <v>0.02</v>
      </c>
    </row>
    <row r="11" spans="2:9" ht="22.9" customHeight="1" thickBot="1" x14ac:dyDescent="0.3">
      <c r="B11" s="38" t="s">
        <v>126</v>
      </c>
      <c r="C11" s="3"/>
      <c r="D11" s="37"/>
      <c r="E11" s="3" t="s">
        <v>125</v>
      </c>
      <c r="F11" s="15">
        <f>'Keep Merino Ewe Hoggets'!J8*(1-('Data Entry'!C19*3))*'Data Entry'!C13*(1-(0.025*I9))</f>
        <v>37929.9375</v>
      </c>
    </row>
    <row r="12" spans="2:9" ht="15.75" thickBot="1" x14ac:dyDescent="0.3">
      <c r="B12" s="206" t="s">
        <v>7</v>
      </c>
      <c r="C12" s="207"/>
      <c r="D12" s="207"/>
      <c r="E12" s="207"/>
      <c r="F12" s="208"/>
    </row>
    <row r="13" spans="2:9" ht="15.75" thickBot="1" x14ac:dyDescent="0.3">
      <c r="B13" s="1"/>
      <c r="C13" s="7"/>
      <c r="D13" s="11"/>
      <c r="E13" s="7"/>
      <c r="F13" s="6"/>
    </row>
    <row r="14" spans="2:9" ht="21" customHeight="1" thickBot="1" x14ac:dyDescent="0.3">
      <c r="B14" s="40" t="s">
        <v>11</v>
      </c>
      <c r="C14" s="7"/>
      <c r="D14" s="11"/>
      <c r="E14" s="7"/>
      <c r="F14" s="6"/>
    </row>
    <row r="15" spans="2:9" ht="21" customHeight="1" thickBot="1" x14ac:dyDescent="0.3">
      <c r="B15" s="41" t="s">
        <v>9</v>
      </c>
      <c r="C15" s="7"/>
      <c r="D15" s="11"/>
      <c r="E15" s="7"/>
      <c r="F15" s="11"/>
    </row>
    <row r="16" spans="2:9" ht="22.9" customHeight="1" thickBot="1" x14ac:dyDescent="0.3">
      <c r="B16" s="92" t="s">
        <v>1</v>
      </c>
      <c r="C16" s="93"/>
      <c r="D16" s="135">
        <f>SUM(D9:D11)+D13+D14-D15</f>
        <v>33750</v>
      </c>
      <c r="E16" s="93"/>
      <c r="F16" s="135">
        <f>SUM(F9:F11)+F13+F14-F15</f>
        <v>54384.433019999997</v>
      </c>
    </row>
    <row r="17" spans="2:8" ht="15.75" thickTop="1" x14ac:dyDescent="0.25">
      <c r="B17" s="12"/>
      <c r="C17" s="13"/>
      <c r="D17" s="18"/>
      <c r="E17" s="13"/>
      <c r="F17" s="19"/>
    </row>
    <row r="18" spans="2:8" ht="18.75" thickBot="1" x14ac:dyDescent="0.3">
      <c r="B18" s="113" t="s">
        <v>12</v>
      </c>
      <c r="C18" s="22"/>
      <c r="D18" s="23"/>
      <c r="E18" s="22"/>
      <c r="F18" s="24"/>
    </row>
    <row r="19" spans="2:8" ht="16.5" thickTop="1" thickBot="1" x14ac:dyDescent="0.3">
      <c r="B19" s="209" t="s">
        <v>13</v>
      </c>
      <c r="C19" s="210"/>
      <c r="D19" s="210"/>
      <c r="E19" s="210"/>
      <c r="F19" s="211"/>
    </row>
    <row r="20" spans="2:8" ht="15.75" thickBot="1" x14ac:dyDescent="0.3">
      <c r="B20" s="38" t="s">
        <v>21</v>
      </c>
      <c r="C20" s="3"/>
      <c r="D20" s="14"/>
      <c r="E20" s="3" t="s">
        <v>22</v>
      </c>
      <c r="F20" s="14">
        <f>'Keep Merino Ewe Hoggets'!J8*(1-'Data Entry'!C19)*'Data Entry'!C20</f>
        <v>2782.6875</v>
      </c>
    </row>
    <row r="21" spans="2:8" ht="15.75" thickBot="1" x14ac:dyDescent="0.3">
      <c r="B21" s="38" t="s">
        <v>27</v>
      </c>
      <c r="C21" s="3"/>
      <c r="D21" s="14"/>
      <c r="E21" s="3"/>
      <c r="F21" s="14">
        <f>'Keep Merino Ewe Hoggets'!J8*(1-'Data Entry'!C19)*'Data Entry'!C22</f>
        <v>540.16874999999993</v>
      </c>
    </row>
    <row r="22" spans="2:8" ht="15.75" thickBot="1" x14ac:dyDescent="0.3">
      <c r="B22" s="38" t="s">
        <v>28</v>
      </c>
      <c r="C22" s="3"/>
      <c r="D22" s="14"/>
      <c r="E22" s="3"/>
      <c r="F22" s="14">
        <f>'Keep Merino Ewe Hoggets'!J6*(1-'Data Entry'!C19)*'Data Entry'!C21</f>
        <v>727.5</v>
      </c>
      <c r="H22" s="147"/>
    </row>
    <row r="23" spans="2:8" ht="17.45" customHeight="1" thickBot="1" x14ac:dyDescent="0.3">
      <c r="B23" s="38" t="s">
        <v>29</v>
      </c>
      <c r="C23" s="3"/>
      <c r="D23" s="14"/>
      <c r="E23" s="3"/>
      <c r="F23" s="14">
        <f>'Keep Merino Ewe Hoggets'!J8*(1-'Data Entry'!C19)*'Data Entry'!C16*0.98*'Data Entry'!C25+(F9*'Data Entry'!H11)</f>
        <v>802.5564078000001</v>
      </c>
    </row>
    <row r="24" spans="2:8" ht="18.600000000000001" customHeight="1" thickBot="1" x14ac:dyDescent="0.3">
      <c r="B24" s="38" t="s">
        <v>30</v>
      </c>
      <c r="C24" s="3"/>
      <c r="D24" s="14">
        <f>(D10*'Data Entry'!C26)+(D10/'Data Entry'!C10*'Data Entry'!I11)</f>
        <v>3157.5</v>
      </c>
      <c r="E24" s="3"/>
      <c r="F24" s="14">
        <f>(F10+F11)*'Data Entry'!C26+('Keep Merino Ewe Hoggets'!J6*'Keep Merino Ewe Hoggets'!J7*'Data Entry'!I11)+('Keep Merino Ewe Hoggets'!J8*'Data Entry'!J11)</f>
        <v>3172.0462499999999</v>
      </c>
    </row>
    <row r="25" spans="2:8" ht="15.75" thickBot="1" x14ac:dyDescent="0.3">
      <c r="B25" s="38" t="s">
        <v>34</v>
      </c>
      <c r="C25" s="3"/>
      <c r="D25" s="14"/>
      <c r="E25" s="3"/>
      <c r="F25" s="14">
        <f>('Keep Merino Ewe Hoggets'!J8*'Data Entry'!C16)/190*'Data Entry'!H8</f>
        <v>248.68421052631578</v>
      </c>
    </row>
    <row r="26" spans="2:8" ht="15.75" thickBot="1" x14ac:dyDescent="0.3">
      <c r="B26" s="38" t="s">
        <v>36</v>
      </c>
      <c r="C26" s="3"/>
      <c r="D26" s="14">
        <f>'Keep Merino Ewe Hoggets'!I6*'Data Entry'!I8</f>
        <v>3750</v>
      </c>
      <c r="E26" s="3"/>
      <c r="F26" s="14">
        <f>'Keep Merino Ewe Hoggets'!J6*'Keep Merino Ewe Hoggets'!J7*'Data Entry'!I8</f>
        <v>375</v>
      </c>
    </row>
    <row r="27" spans="2:8" ht="15.75" thickBot="1" x14ac:dyDescent="0.3">
      <c r="B27" s="38" t="s">
        <v>63</v>
      </c>
      <c r="C27" s="3"/>
      <c r="D27" s="14"/>
      <c r="E27" s="3"/>
      <c r="F27" s="14">
        <f>'Keep Merino Ewe Hoggets'!J8*0.95*'Data Entry'!J8</f>
        <v>1603.125</v>
      </c>
    </row>
    <row r="28" spans="2:8" ht="15.75" thickBot="1" x14ac:dyDescent="0.3">
      <c r="B28" s="38" t="s">
        <v>24</v>
      </c>
      <c r="C28" s="3"/>
      <c r="D28" s="14"/>
      <c r="E28" s="3"/>
      <c r="F28" s="14">
        <f>'Keep Merino Ewe Hoggets'!J8*(1-'Data Entry'!C19)*1.2*'Data Entry'!C23</f>
        <v>589.27499999999998</v>
      </c>
    </row>
    <row r="29" spans="2:8" ht="15.75" thickBot="1" x14ac:dyDescent="0.3">
      <c r="B29" s="29" t="s">
        <v>25</v>
      </c>
      <c r="C29" s="3"/>
      <c r="D29" s="14">
        <f>IF([1]Infrastructure!E16&gt;0,[1]Infrastructure!E16,0)</f>
        <v>0</v>
      </c>
      <c r="E29" s="3"/>
      <c r="F29" s="14">
        <f>'Keep Merino Ewe Hoggets'!J8*(1-'Data Entry'!C19)*1.2*'Data Entry'!C24</f>
        <v>589.27499999999998</v>
      </c>
    </row>
    <row r="30" spans="2:8" ht="21.6" customHeight="1" thickBot="1" x14ac:dyDescent="0.3">
      <c r="B30" s="97" t="s">
        <v>2</v>
      </c>
      <c r="C30" s="200"/>
      <c r="D30" s="201"/>
      <c r="E30" s="201"/>
      <c r="F30" s="202"/>
    </row>
    <row r="31" spans="2:8" ht="15.75" thickBot="1" x14ac:dyDescent="0.3">
      <c r="B31" s="39" t="s">
        <v>4</v>
      </c>
      <c r="C31" s="3"/>
      <c r="D31" s="165"/>
      <c r="E31" s="3"/>
      <c r="F31" s="166"/>
    </row>
    <row r="32" spans="2:8" ht="18.75" thickBot="1" x14ac:dyDescent="0.3">
      <c r="B32" s="111" t="s">
        <v>3</v>
      </c>
      <c r="C32" s="101"/>
      <c r="D32" s="136">
        <f>SUM(D20:D31)</f>
        <v>6907.5</v>
      </c>
      <c r="E32" s="101"/>
      <c r="F32" s="136">
        <f>SUM(F20:F31)</f>
        <v>11430.318118326313</v>
      </c>
    </row>
    <row r="33" spans="2:6" ht="18.75" thickBot="1" x14ac:dyDescent="0.3">
      <c r="B33" s="115" t="s">
        <v>71</v>
      </c>
      <c r="C33" s="17"/>
      <c r="D33" s="20">
        <f>D16-D32</f>
        <v>26842.5</v>
      </c>
      <c r="E33" s="21"/>
      <c r="F33" s="20">
        <f>F16-F32</f>
        <v>42954.114901673682</v>
      </c>
    </row>
  </sheetData>
  <sheetProtection sheet="1" selectLockedCells="1"/>
  <mergeCells count="6">
    <mergeCell ref="C30:F30"/>
    <mergeCell ref="C6:D6"/>
    <mergeCell ref="E6:F6"/>
    <mergeCell ref="B7:F7"/>
    <mergeCell ref="B12:F12"/>
    <mergeCell ref="B19:F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-0.249977111117893"/>
  </sheetPr>
  <dimension ref="B2:J28"/>
  <sheetViews>
    <sheetView showRowColHeaders="0" workbookViewId="0">
      <selection activeCell="I7" sqref="I7"/>
    </sheetView>
  </sheetViews>
  <sheetFormatPr defaultRowHeight="15" x14ac:dyDescent="0.25"/>
  <cols>
    <col min="2" max="2" width="20" customWidth="1"/>
    <col min="3" max="3" width="32.140625" customWidth="1"/>
    <col min="4" max="4" width="12.7109375" customWidth="1"/>
    <col min="5" max="5" width="38" customWidth="1"/>
    <col min="6" max="6" width="13.7109375" customWidth="1"/>
    <col min="7" max="7" width="0" hidden="1" customWidth="1"/>
    <col min="8" max="8" width="19.85546875" customWidth="1"/>
    <col min="9" max="9" width="9.5703125" customWidth="1"/>
    <col min="10" max="10" width="10.28515625" customWidth="1"/>
  </cols>
  <sheetData>
    <row r="2" spans="2:10" ht="20.25" x14ac:dyDescent="0.3">
      <c r="B2" s="28" t="s">
        <v>123</v>
      </c>
    </row>
    <row r="3" spans="2:10" ht="15.75" x14ac:dyDescent="0.25">
      <c r="B3" s="164" t="str">
        <f>IF('Data Entry'!C4="","",'Data Entry'!C4)</f>
        <v/>
      </c>
    </row>
    <row r="4" spans="2:10" ht="16.5" thickBot="1" x14ac:dyDescent="0.3">
      <c r="B4" s="34"/>
      <c r="C4" s="33"/>
    </row>
    <row r="5" spans="2:10" ht="16.5" thickBot="1" x14ac:dyDescent="0.3">
      <c r="B5" s="9"/>
      <c r="C5" s="59" t="s">
        <v>38</v>
      </c>
      <c r="D5" s="10"/>
      <c r="E5" s="60" t="s">
        <v>8</v>
      </c>
      <c r="F5" s="10"/>
      <c r="H5" s="119"/>
      <c r="I5" s="124" t="s">
        <v>38</v>
      </c>
      <c r="J5" s="120" t="s">
        <v>8</v>
      </c>
    </row>
    <row r="6" spans="2:10" ht="16.5" thickBot="1" x14ac:dyDescent="0.3">
      <c r="B6" s="35"/>
      <c r="C6" s="61" t="s">
        <v>121</v>
      </c>
      <c r="D6" s="8"/>
      <c r="E6" s="63" t="s">
        <v>122</v>
      </c>
      <c r="F6" s="8"/>
      <c r="H6" s="127" t="s">
        <v>45</v>
      </c>
      <c r="I6" s="128">
        <f>('Data Entry'!E8*'Data Entry'!E18)/2</f>
        <v>650</v>
      </c>
      <c r="J6" s="129">
        <f>('Data Entry'!E8*'Data Entry'!E18)/2</f>
        <v>650</v>
      </c>
    </row>
    <row r="7" spans="2:10" ht="18.75" thickBot="1" x14ac:dyDescent="0.3">
      <c r="B7" s="67" t="s">
        <v>6</v>
      </c>
      <c r="C7" s="68"/>
      <c r="D7" s="69"/>
      <c r="E7" s="70"/>
      <c r="F7" s="69"/>
      <c r="H7" s="121" t="s">
        <v>72</v>
      </c>
      <c r="I7" s="125">
        <v>0.6</v>
      </c>
      <c r="J7" s="122">
        <v>0.1</v>
      </c>
    </row>
    <row r="8" spans="2:10" ht="15.75" thickBot="1" x14ac:dyDescent="0.3">
      <c r="B8" s="107" t="s">
        <v>5</v>
      </c>
      <c r="C8" s="108"/>
      <c r="D8" s="109"/>
      <c r="E8" s="110"/>
      <c r="F8" s="109"/>
      <c r="H8" s="110" t="s">
        <v>77</v>
      </c>
      <c r="I8" s="126">
        <f>I6-(I6*I7)</f>
        <v>260</v>
      </c>
      <c r="J8" s="123">
        <f>J6*(1-J7)</f>
        <v>585</v>
      </c>
    </row>
    <row r="9" spans="2:10" ht="18" customHeight="1" x14ac:dyDescent="0.25">
      <c r="B9" s="49" t="s">
        <v>44</v>
      </c>
      <c r="C9" s="50" t="s">
        <v>93</v>
      </c>
      <c r="D9" s="51">
        <f>'Keep Cleanskin Hoggets'!I6*'Keep Cleanskin Hoggets'!I7*'Data Entry'!C11</f>
        <v>78000</v>
      </c>
      <c r="E9" s="50" t="s">
        <v>91</v>
      </c>
      <c r="F9" s="52">
        <f>'Keep Cleanskin Hoggets'!J6*'Keep Cleanskin Hoggets'!J7*'Data Entry'!E11</f>
        <v>13000</v>
      </c>
      <c r="G9" s="36">
        <f>F9/'Data Entry'!C11</f>
        <v>65</v>
      </c>
    </row>
    <row r="10" spans="2:10" ht="18" customHeight="1" x14ac:dyDescent="0.25">
      <c r="B10" s="49" t="s">
        <v>46</v>
      </c>
      <c r="C10" s="50"/>
      <c r="D10" s="53"/>
      <c r="E10" s="50" t="s">
        <v>92</v>
      </c>
      <c r="F10" s="52">
        <f>('Keep Cleanskin Hoggets'!J8-'Keep Cleanskin Hoggets'!I8)*(1-'Data Entry'!E19)*'Data Entry'!E18*'Data Entry'!E9</f>
        <v>53826.5</v>
      </c>
      <c r="G10" s="36">
        <f>F10/'Data Entry'!C9</f>
        <v>414.05</v>
      </c>
    </row>
    <row r="11" spans="2:10" ht="18" customHeight="1" x14ac:dyDescent="0.25">
      <c r="B11" s="49" t="s">
        <v>43</v>
      </c>
      <c r="C11" s="50"/>
      <c r="D11" s="53"/>
      <c r="E11" s="50" t="s">
        <v>88</v>
      </c>
      <c r="F11" s="52">
        <f>('Keep Cleanskin Hoggets'!J8-'Keep Cleanskin Hoggets'!I8)*(1-'Data Entry'!E19*3)*'Data Entry'!E12*0.9</f>
        <v>38493</v>
      </c>
      <c r="G11" s="36">
        <f>F11/'Data Entry'!C12</f>
        <v>296.10000000000002</v>
      </c>
    </row>
    <row r="12" spans="2:10" ht="18" customHeight="1" x14ac:dyDescent="0.25">
      <c r="B12" s="49"/>
      <c r="C12" s="50"/>
      <c r="D12" s="53"/>
      <c r="E12" s="50"/>
      <c r="F12" s="52"/>
    </row>
    <row r="13" spans="2:10" ht="18" customHeight="1" x14ac:dyDescent="0.25">
      <c r="B13" s="103" t="s">
        <v>7</v>
      </c>
      <c r="C13" s="104"/>
      <c r="D13" s="105"/>
      <c r="E13" s="104"/>
      <c r="F13" s="106"/>
    </row>
    <row r="14" spans="2:10" ht="18" customHeight="1" x14ac:dyDescent="0.25">
      <c r="B14" s="49" t="s">
        <v>9</v>
      </c>
      <c r="C14" s="50"/>
      <c r="D14" s="53"/>
      <c r="E14" s="50"/>
      <c r="F14" s="55"/>
    </row>
    <row r="15" spans="2:10" ht="18" customHeight="1" thickBot="1" x14ac:dyDescent="0.3">
      <c r="B15" s="49"/>
      <c r="C15" s="50"/>
      <c r="D15" s="53"/>
      <c r="E15" s="50"/>
      <c r="F15" s="55"/>
    </row>
    <row r="16" spans="2:10" ht="18" customHeight="1" thickBot="1" x14ac:dyDescent="0.3">
      <c r="B16" s="62" t="s">
        <v>1</v>
      </c>
      <c r="C16" s="75"/>
      <c r="D16" s="76">
        <f>SUM(D9:D14)</f>
        <v>78000</v>
      </c>
      <c r="E16" s="75"/>
      <c r="F16" s="77">
        <f>SUM(F9:F14)</f>
        <v>105319.5</v>
      </c>
    </row>
    <row r="17" spans="2:6" ht="15.75" thickBot="1" x14ac:dyDescent="0.3">
      <c r="B17" s="49"/>
      <c r="C17" s="50"/>
      <c r="D17" s="53"/>
      <c r="E17" s="50"/>
      <c r="F17" s="55"/>
    </row>
    <row r="18" spans="2:6" ht="18" x14ac:dyDescent="0.25">
      <c r="B18" s="71" t="s">
        <v>12</v>
      </c>
      <c r="C18" s="72"/>
      <c r="D18" s="73"/>
      <c r="E18" s="72"/>
      <c r="F18" s="74"/>
    </row>
    <row r="19" spans="2:6" ht="18" customHeight="1" x14ac:dyDescent="0.25">
      <c r="B19" s="54" t="s">
        <v>67</v>
      </c>
      <c r="C19" s="50"/>
      <c r="D19" s="53"/>
      <c r="E19" s="50"/>
      <c r="F19" s="55"/>
    </row>
    <row r="20" spans="2:6" ht="18" customHeight="1" x14ac:dyDescent="0.25">
      <c r="B20" s="49" t="s">
        <v>68</v>
      </c>
      <c r="C20" s="50"/>
      <c r="D20" s="53"/>
      <c r="E20" s="50"/>
      <c r="F20" s="52">
        <f>('Keep Cleanskin Hoggets'!J8-'Keep Cleanskin Hoggets'!I8)*(1-'Data Entry'!C19)*'Data Entry'!C22</f>
        <v>520.16250000000002</v>
      </c>
    </row>
    <row r="21" spans="2:6" ht="18" customHeight="1" x14ac:dyDescent="0.25">
      <c r="B21" s="49" t="s">
        <v>28</v>
      </c>
      <c r="C21" s="50"/>
      <c r="D21" s="53"/>
      <c r="E21" s="50"/>
      <c r="F21" s="52">
        <f>('Keep Cleanskin Hoggets'!J8-'Keep Cleanskin Hoggets'!I8)*(1-'Data Entry'!E19)*'Data Entry'!E21</f>
        <v>637</v>
      </c>
    </row>
    <row r="22" spans="2:6" ht="18" customHeight="1" x14ac:dyDescent="0.25">
      <c r="B22" s="49" t="s">
        <v>30</v>
      </c>
      <c r="C22" s="50"/>
      <c r="D22" s="51">
        <f>(D9*'Data Entry'!C26)+('Keep Cleanskin Hoggets'!D9/'Data Entry'!C12*'Data Entry'!J11)</f>
        <v>5712</v>
      </c>
      <c r="E22" s="50"/>
      <c r="F22" s="52">
        <f>(F9+F10+F11)*'Data Entry'!E26+(G9+G11)*'Data Entry'!J11+'Keep Cleanskin Hoggets'!G10*'Data Entry'!I11</f>
        <v>8190.6929999999993</v>
      </c>
    </row>
    <row r="23" spans="2:6" ht="18" customHeight="1" x14ac:dyDescent="0.25">
      <c r="B23" s="49" t="s">
        <v>69</v>
      </c>
      <c r="C23" s="50"/>
      <c r="D23" s="53"/>
      <c r="E23" s="50"/>
      <c r="F23" s="52">
        <f>G10*'Data Entry'!I8</f>
        <v>4140.5</v>
      </c>
    </row>
    <row r="24" spans="2:6" ht="18" customHeight="1" x14ac:dyDescent="0.25">
      <c r="B24" s="49" t="s">
        <v>70</v>
      </c>
      <c r="C24" s="50"/>
      <c r="D24" s="51">
        <f>'Keep Cleanskin Hoggets'!D9/'Data Entry'!C12*'Data Entry'!J8</f>
        <v>3000</v>
      </c>
      <c r="E24" s="50"/>
      <c r="F24" s="52">
        <f>(G9+G11)*'Data Entry'!J8</f>
        <v>1805.5</v>
      </c>
    </row>
    <row r="25" spans="2:6" ht="18" customHeight="1" x14ac:dyDescent="0.25">
      <c r="B25" s="49" t="s">
        <v>24</v>
      </c>
      <c r="C25" s="50"/>
      <c r="D25" s="53"/>
      <c r="E25" s="50"/>
      <c r="F25" s="52">
        <f>('Keep Cleanskin Hoggets'!J8-'Keep Cleanskin Hoggets'!I8)*(1-'Data Entry'!E19)*'Data Entry'!E23</f>
        <v>477.75</v>
      </c>
    </row>
    <row r="26" spans="2:6" ht="18" customHeight="1" thickBot="1" x14ac:dyDescent="0.3">
      <c r="B26" s="44" t="s">
        <v>25</v>
      </c>
      <c r="C26" s="57"/>
      <c r="D26" s="43"/>
      <c r="E26" s="57"/>
      <c r="F26" s="58">
        <f>('Keep Cleanskin Hoggets'!J8-'Keep Cleanskin Hoggets'!I8)*(1-'Data Entry'!E19)*'Data Entry'!E24</f>
        <v>477.75</v>
      </c>
    </row>
    <row r="27" spans="2:6" ht="18.75" thickBot="1" x14ac:dyDescent="0.3">
      <c r="B27" s="78" t="s">
        <v>3</v>
      </c>
      <c r="C27" s="75"/>
      <c r="D27" s="76">
        <f>SUM(D19:D26)</f>
        <v>8712</v>
      </c>
      <c r="E27" s="75"/>
      <c r="F27" s="77">
        <f>SUM(F20:F26)</f>
        <v>16249.3555</v>
      </c>
    </row>
    <row r="28" spans="2:6" ht="18.75" thickBot="1" x14ac:dyDescent="0.3">
      <c r="B28" s="67" t="s">
        <v>71</v>
      </c>
      <c r="C28" s="116"/>
      <c r="D28" s="117">
        <f>D16-D27</f>
        <v>69288</v>
      </c>
      <c r="E28" s="116"/>
      <c r="F28" s="118">
        <f>F16-F27</f>
        <v>89070.144499999995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0.39997558519241921"/>
  </sheetPr>
  <dimension ref="B2:H31"/>
  <sheetViews>
    <sheetView showRowColHeaders="0" workbookViewId="0">
      <selection activeCell="H6" sqref="H6"/>
    </sheetView>
  </sheetViews>
  <sheetFormatPr defaultRowHeight="15" x14ac:dyDescent="0.25"/>
  <cols>
    <col min="2" max="2" width="22.5703125" customWidth="1"/>
    <col min="3" max="3" width="46.28515625" customWidth="1"/>
    <col min="4" max="4" width="13.7109375" customWidth="1"/>
    <col min="5" max="5" width="0" hidden="1" customWidth="1"/>
    <col min="7" max="7" width="21" customWidth="1"/>
    <col min="8" max="8" width="9.5703125" customWidth="1"/>
  </cols>
  <sheetData>
    <row r="2" spans="2:8" ht="20.25" x14ac:dyDescent="0.3">
      <c r="B2" s="28" t="s">
        <v>118</v>
      </c>
    </row>
    <row r="3" spans="2:8" ht="15.75" x14ac:dyDescent="0.25">
      <c r="B3" s="164" t="str">
        <f>IF('Data Entry'!C4="","",'Data Entry'!C4)</f>
        <v/>
      </c>
    </row>
    <row r="4" spans="2:8" ht="16.5" thickBot="1" x14ac:dyDescent="0.3">
      <c r="B4" s="34"/>
    </row>
    <row r="5" spans="2:8" ht="18.75" thickBot="1" x14ac:dyDescent="0.3">
      <c r="B5" s="112" t="s">
        <v>6</v>
      </c>
      <c r="C5" s="171"/>
      <c r="D5" s="172"/>
      <c r="G5" s="62" t="s">
        <v>115</v>
      </c>
      <c r="H5" s="168"/>
    </row>
    <row r="6" spans="2:8" ht="15.75" thickBot="1" x14ac:dyDescent="0.3">
      <c r="B6" s="107" t="s">
        <v>5</v>
      </c>
      <c r="C6" s="110"/>
      <c r="D6" s="109"/>
      <c r="G6" s="121" t="s">
        <v>111</v>
      </c>
      <c r="H6" s="167">
        <v>500</v>
      </c>
    </row>
    <row r="7" spans="2:8" ht="18" customHeight="1" x14ac:dyDescent="0.25">
      <c r="B7" s="45" t="s">
        <v>10</v>
      </c>
      <c r="C7" s="46" t="s">
        <v>86</v>
      </c>
      <c r="D7" s="48">
        <f>('Buy Merino Ewes'!H6)*(1-'Data Entry'!C19)*'Data Entry'!C14/100*'Data Entry'!C15*'Data Entry'!C16*'Data Entry'!C17*0.98</f>
        <v>19377.0304</v>
      </c>
      <c r="G7" s="121" t="s">
        <v>112</v>
      </c>
      <c r="H7" s="169">
        <v>250</v>
      </c>
    </row>
    <row r="8" spans="2:8" ht="18" customHeight="1" x14ac:dyDescent="0.25">
      <c r="B8" s="49" t="s">
        <v>44</v>
      </c>
      <c r="C8" s="50" t="s">
        <v>91</v>
      </c>
      <c r="D8" s="52">
        <f>'Buy Merino Ewes'!H9*'Buy Merino Ewes'!H10*'Data Entry'!C11</f>
        <v>15750</v>
      </c>
      <c r="E8" s="36">
        <f>D8/'Data Entry'!C11</f>
        <v>78.75</v>
      </c>
      <c r="F8" s="36"/>
      <c r="G8" s="121" t="s">
        <v>113</v>
      </c>
      <c r="H8" s="170">
        <v>4</v>
      </c>
    </row>
    <row r="9" spans="2:8" ht="18" customHeight="1" x14ac:dyDescent="0.25">
      <c r="B9" s="49" t="s">
        <v>61</v>
      </c>
      <c r="C9" s="50" t="s">
        <v>95</v>
      </c>
      <c r="D9" s="52">
        <f>('Buy Merino Ewes'!H6)*(1-'Data Entry'!C19)*0.85*'Data Entry'!C9</f>
        <v>53592.5</v>
      </c>
      <c r="E9" s="36">
        <f>D9/'Data Entry'!C9</f>
        <v>412.25</v>
      </c>
      <c r="F9" s="36"/>
      <c r="G9" s="121" t="s">
        <v>45</v>
      </c>
      <c r="H9" s="189">
        <f>H6*'Data Entry'!C18/2</f>
        <v>187.5</v>
      </c>
    </row>
    <row r="10" spans="2:8" ht="18" customHeight="1" thickBot="1" x14ac:dyDescent="0.3">
      <c r="B10" s="49"/>
      <c r="C10" s="50"/>
      <c r="D10" s="52"/>
      <c r="E10" s="36">
        <f>D10/'Data Entry'!C12</f>
        <v>0</v>
      </c>
      <c r="F10" s="36"/>
      <c r="G10" s="110" t="s">
        <v>72</v>
      </c>
      <c r="H10" s="173">
        <v>0.42</v>
      </c>
    </row>
    <row r="11" spans="2:8" ht="18" customHeight="1" x14ac:dyDescent="0.25">
      <c r="B11" s="49"/>
      <c r="C11" s="50"/>
      <c r="D11" s="52"/>
    </row>
    <row r="12" spans="2:8" ht="18" customHeight="1" x14ac:dyDescent="0.25">
      <c r="B12" s="103" t="s">
        <v>7</v>
      </c>
      <c r="C12" s="104"/>
      <c r="D12" s="106"/>
    </row>
    <row r="13" spans="2:8" ht="18" customHeight="1" x14ac:dyDescent="0.25">
      <c r="B13" s="49" t="s">
        <v>9</v>
      </c>
      <c r="C13" s="50"/>
      <c r="D13" s="55"/>
    </row>
    <row r="14" spans="2:8" ht="18" customHeight="1" thickBot="1" x14ac:dyDescent="0.3">
      <c r="B14" s="49"/>
      <c r="C14" s="50"/>
      <c r="D14" s="55"/>
    </row>
    <row r="15" spans="2:8" ht="18" customHeight="1" thickBot="1" x14ac:dyDescent="0.3">
      <c r="B15" s="62" t="s">
        <v>1</v>
      </c>
      <c r="C15" s="75"/>
      <c r="D15" s="77">
        <f>SUM(D7:D13)</f>
        <v>88719.530400000003</v>
      </c>
    </row>
    <row r="16" spans="2:8" ht="15.75" thickBot="1" x14ac:dyDescent="0.3">
      <c r="B16" s="49"/>
      <c r="C16" s="50"/>
      <c r="D16" s="55"/>
    </row>
    <row r="17" spans="2:4" ht="18" x14ac:dyDescent="0.25">
      <c r="B17" s="71" t="s">
        <v>12</v>
      </c>
      <c r="C17" s="72"/>
      <c r="D17" s="74"/>
    </row>
    <row r="18" spans="2:4" ht="18" customHeight="1" x14ac:dyDescent="0.25">
      <c r="B18" s="54" t="s">
        <v>67</v>
      </c>
      <c r="C18" s="50"/>
      <c r="D18" s="55"/>
    </row>
    <row r="19" spans="2:4" ht="18" customHeight="1" x14ac:dyDescent="0.25">
      <c r="B19" s="49" t="s">
        <v>21</v>
      </c>
      <c r="C19" s="50"/>
      <c r="D19" s="52">
        <f>('Buy Merino Ewes'!H6)*(1-'Data Entry'!C19)*'Data Entry'!C20</f>
        <v>4122.5</v>
      </c>
    </row>
    <row r="20" spans="2:4" ht="18" customHeight="1" x14ac:dyDescent="0.25">
      <c r="B20" s="49" t="s">
        <v>68</v>
      </c>
      <c r="C20" s="50"/>
      <c r="D20" s="52">
        <f>('Buy Merino Ewes'!H6)*(1-'Data Entry'!C19)*'Data Entry'!C22</f>
        <v>800.25</v>
      </c>
    </row>
    <row r="21" spans="2:4" ht="18" customHeight="1" x14ac:dyDescent="0.25">
      <c r="B21" s="49" t="s">
        <v>28</v>
      </c>
      <c r="C21" s="50"/>
      <c r="D21" s="52">
        <f>('Buy Merino Ewes'!H6)*(1-'Data Entry'!C19)*'Data Entry'!C21</f>
        <v>970</v>
      </c>
    </row>
    <row r="22" spans="2:4" ht="18" customHeight="1" x14ac:dyDescent="0.25">
      <c r="B22" s="49" t="s">
        <v>29</v>
      </c>
      <c r="C22" s="50"/>
      <c r="D22" s="52">
        <f>('Buy Merino Ewes'!H6)*(1-'Data Entry'!C19)*'Data Entry'!C16*0.98*'Data Entry'!C25+(D7*'Data Entry'!H12)</f>
        <v>898.31700000000001</v>
      </c>
    </row>
    <row r="23" spans="2:4" ht="18" customHeight="1" x14ac:dyDescent="0.25">
      <c r="B23" s="49" t="s">
        <v>30</v>
      </c>
      <c r="C23" s="50"/>
      <c r="D23" s="52">
        <f>(D8+D9+D10)*'Data Entry'!C26+(E8+E10)*'Data Entry'!J11+'Buy Merino Ewes'!E9*'Data Entry'!I11</f>
        <v>5540.9949999999999</v>
      </c>
    </row>
    <row r="24" spans="2:4" ht="18" customHeight="1" x14ac:dyDescent="0.25">
      <c r="B24" s="49" t="s">
        <v>34</v>
      </c>
      <c r="C24" s="50"/>
      <c r="D24" s="52">
        <f>('Buy Merino Ewes'!H6)*(1-'Data Entry'!C19)*'Data Entry'!C16/190*'Data Entry'!H8</f>
        <v>357.36842105263156</v>
      </c>
    </row>
    <row r="25" spans="2:4" ht="18" customHeight="1" x14ac:dyDescent="0.25">
      <c r="B25" s="49" t="s">
        <v>69</v>
      </c>
      <c r="C25" s="50"/>
      <c r="D25" s="52">
        <f>E9*'Data Entry'!I8</f>
        <v>4122.5</v>
      </c>
    </row>
    <row r="26" spans="2:4" ht="18" customHeight="1" x14ac:dyDescent="0.25">
      <c r="B26" s="49" t="s">
        <v>70</v>
      </c>
      <c r="C26" s="50"/>
      <c r="D26" s="52">
        <f>(E8+E10+H6)*'Data Entry'!J8</f>
        <v>2893.75</v>
      </c>
    </row>
    <row r="27" spans="2:4" ht="18" customHeight="1" x14ac:dyDescent="0.25">
      <c r="B27" s="49" t="s">
        <v>24</v>
      </c>
      <c r="C27" s="50"/>
      <c r="D27" s="52">
        <f>('Buy Merino Ewes'!H6)*(1-'Data Entry'!C19)*'Data Entry'!C23</f>
        <v>727.5</v>
      </c>
    </row>
    <row r="28" spans="2:4" ht="18" customHeight="1" thickBot="1" x14ac:dyDescent="0.3">
      <c r="B28" s="44" t="s">
        <v>25</v>
      </c>
      <c r="C28" s="57"/>
      <c r="D28" s="58">
        <f>('Buy Merino Ewes'!H6)*(1-'Data Entry'!C19)*'Data Entry'!C24</f>
        <v>727.5</v>
      </c>
    </row>
    <row r="29" spans="2:4" ht="18" customHeight="1" thickBot="1" x14ac:dyDescent="0.3">
      <c r="B29" s="44" t="s">
        <v>114</v>
      </c>
      <c r="C29" s="57"/>
      <c r="D29" s="58">
        <f>((H6*H7)-(1-'Data Entry'!C19*'Buy Merino Ewes'!H8)*'Data Entry'!C12)/'Buy Merino Ewes'!H8</f>
        <v>31221.4</v>
      </c>
    </row>
    <row r="30" spans="2:4" ht="18.75" thickBot="1" x14ac:dyDescent="0.3">
      <c r="B30" s="78" t="s">
        <v>3</v>
      </c>
      <c r="C30" s="75"/>
      <c r="D30" s="77">
        <f>SUM(D19:D29)</f>
        <v>52382.080421052633</v>
      </c>
    </row>
    <row r="31" spans="2:4" ht="18.75" thickBot="1" x14ac:dyDescent="0.3">
      <c r="B31" s="67" t="s">
        <v>71</v>
      </c>
      <c r="C31" s="116"/>
      <c r="D31" s="118">
        <f>D15-D30</f>
        <v>36337.44997894737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Data Entry</vt:lpstr>
      <vt:lpstr>Keep Merino Ewe Hoggets</vt:lpstr>
      <vt:lpstr>Cull Poor Performers</vt:lpstr>
      <vt:lpstr>Keep Merino Wethers</vt:lpstr>
      <vt:lpstr>Keep Cleanskin Hoggets</vt:lpstr>
      <vt:lpstr>Buy Merino Ewes</vt:lpstr>
    </vt:vector>
  </TitlesOfParts>
  <Company>PIRSA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Wurst</dc:creator>
  <cp:lastModifiedBy>Danielle Avolio</cp:lastModifiedBy>
  <dcterms:created xsi:type="dcterms:W3CDTF">2018-11-07T00:12:53Z</dcterms:created>
  <dcterms:modified xsi:type="dcterms:W3CDTF">2020-11-17T05:10:30Z</dcterms:modified>
</cp:coreProperties>
</file>